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Тариф. Бабатай янв.2023г\"/>
    </mc:Choice>
  </mc:AlternateContent>
  <bookViews>
    <workbookView xWindow="0" yWindow="0" windowWidth="23250" windowHeight="12330" activeTab="1"/>
  </bookViews>
  <sheets>
    <sheet name="Тариф 01.01.2023 г." sheetId="6" r:id="rId1"/>
    <sheet name="проверка тетр." sheetId="10" r:id="rId2"/>
    <sheet name="нагрузка" sheetId="11" r:id="rId3"/>
    <sheet name="фак., кружки" sheetId="12" r:id="rId4"/>
    <sheet name="Штат" sheetId="7" r:id="rId5"/>
    <sheet name="Мини-центр" sheetId="8" r:id="rId6"/>
  </sheets>
  <definedNames>
    <definedName name="_xlnm._FilterDatabase" localSheetId="0" hidden="1">'Тариф 01.01.2023 г.'!$A$41:$AI$69</definedName>
    <definedName name="БДО" localSheetId="5">#REF!</definedName>
    <definedName name="БДО" localSheetId="1">#REF!</definedName>
    <definedName name="БДО">#REF!</definedName>
    <definedName name="В1">#REF!</definedName>
    <definedName name="_xlnm.Print_Area" localSheetId="5">'Мини-центр'!$A$1:$AH$31</definedName>
    <definedName name="_xlnm.Print_Area" localSheetId="0">'Тариф 01.01.2023 г.'!$A$1:$AP$71</definedName>
    <definedName name="_xlnm.Print_Area" localSheetId="3">'фак., кружки'!$A$1:$G$38</definedName>
    <definedName name="_xlnm.Print_Area" localSheetId="4">Штат!$A$1:$AG$39</definedName>
  </definedNames>
  <calcPr calcId="162913"/>
</workbook>
</file>

<file path=xl/calcChain.xml><?xml version="1.0" encoding="utf-8"?>
<calcChain xmlns="http://schemas.openxmlformats.org/spreadsheetml/2006/main">
  <c r="J33" i="7" l="1"/>
  <c r="L33" i="7" s="1"/>
  <c r="N33" i="7" s="1"/>
  <c r="Z33" i="7"/>
  <c r="J32" i="7"/>
  <c r="L32" i="7" s="1"/>
  <c r="N32" i="7" s="1"/>
  <c r="J31" i="7"/>
  <c r="L31" i="7" s="1"/>
  <c r="N31" i="7" s="1"/>
  <c r="Z32" i="7"/>
  <c r="Z31" i="7"/>
  <c r="O33" i="7" l="1"/>
  <c r="O32" i="7"/>
  <c r="O31" i="7"/>
  <c r="AB29" i="7"/>
  <c r="AB30" i="7"/>
  <c r="AB34" i="7"/>
  <c r="AB35" i="7"/>
  <c r="AB36" i="7"/>
  <c r="AB28" i="7"/>
  <c r="X23" i="7"/>
  <c r="X24" i="7"/>
  <c r="X25" i="7"/>
  <c r="V23" i="7"/>
  <c r="V24" i="7"/>
  <c r="V25" i="7"/>
  <c r="T23" i="7"/>
  <c r="T24" i="7"/>
  <c r="T25" i="7"/>
  <c r="AD31" i="7" l="1"/>
  <c r="AE31" i="7" s="1"/>
  <c r="AF31" i="7" s="1"/>
  <c r="AD32" i="7"/>
  <c r="AE32" i="7" s="1"/>
  <c r="AF32" i="7" s="1"/>
  <c r="AD33" i="7"/>
  <c r="AE33" i="7" s="1"/>
  <c r="AF33" i="7" s="1"/>
  <c r="R24" i="7"/>
  <c r="AD27" i="8"/>
  <c r="M27" i="8"/>
  <c r="I27" i="8"/>
  <c r="AE44" i="6" l="1"/>
  <c r="AE45" i="6"/>
  <c r="AE46" i="6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63" i="6"/>
  <c r="AE64" i="6"/>
  <c r="AE65" i="6"/>
  <c r="AE66" i="6"/>
  <c r="AE67" i="6"/>
  <c r="AE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D64" i="6"/>
  <c r="AD65" i="6"/>
  <c r="AD66" i="6"/>
  <c r="AD67" i="6"/>
  <c r="AD43" i="6"/>
  <c r="AN50" i="6" l="1"/>
  <c r="G15" i="12"/>
  <c r="G14" i="12"/>
  <c r="G13" i="12"/>
  <c r="G12" i="12"/>
  <c r="G11" i="12"/>
  <c r="F10" i="12"/>
  <c r="G9" i="12"/>
  <c r="BF32" i="11"/>
  <c r="BE32" i="11"/>
  <c r="BC32" i="11"/>
  <c r="BB32" i="11"/>
  <c r="BA32" i="11"/>
  <c r="AZ32" i="11"/>
  <c r="AY32" i="11"/>
  <c r="AX32" i="11"/>
  <c r="AV32" i="11"/>
  <c r="AU32" i="11"/>
  <c r="AT32" i="11"/>
  <c r="AS32" i="11"/>
  <c r="AR32" i="11"/>
  <c r="AQ32" i="11"/>
  <c r="AN32" i="11"/>
  <c r="AM32" i="11"/>
  <c r="AK32" i="11"/>
  <c r="AJ32" i="11"/>
  <c r="AI32" i="11"/>
  <c r="AH32" i="11"/>
  <c r="AG32" i="11"/>
  <c r="AF32" i="11"/>
  <c r="AD32" i="11"/>
  <c r="AC32" i="11"/>
  <c r="AB32" i="11"/>
  <c r="AA32" i="11"/>
  <c r="Z32" i="11"/>
  <c r="Y32" i="11"/>
  <c r="V32" i="11"/>
  <c r="U32" i="11"/>
  <c r="S32" i="11"/>
  <c r="R32" i="11"/>
  <c r="Q32" i="11"/>
  <c r="P32" i="11"/>
  <c r="O32" i="11"/>
  <c r="N32" i="11"/>
  <c r="L32" i="11"/>
  <c r="K32" i="11"/>
  <c r="J32" i="11"/>
  <c r="I32" i="11"/>
  <c r="H32" i="11"/>
  <c r="G32" i="11"/>
  <c r="F32" i="11"/>
  <c r="E32" i="11"/>
  <c r="D32" i="11"/>
  <c r="BG31" i="11"/>
  <c r="AW31" i="11"/>
  <c r="AO31" i="11"/>
  <c r="AL31" i="11"/>
  <c r="AE31" i="11"/>
  <c r="W31" i="11"/>
  <c r="T31" i="11"/>
  <c r="M31" i="11"/>
  <c r="BG30" i="11"/>
  <c r="BD30" i="11"/>
  <c r="AW30" i="11"/>
  <c r="AO30" i="11"/>
  <c r="AL30" i="11"/>
  <c r="AE30" i="11"/>
  <c r="T30" i="11"/>
  <c r="M30" i="11"/>
  <c r="BG29" i="11"/>
  <c r="BD29" i="11"/>
  <c r="AW29" i="11"/>
  <c r="AO29" i="11"/>
  <c r="AL29" i="11"/>
  <c r="AE29" i="11"/>
  <c r="T29" i="11"/>
  <c r="M29" i="11"/>
  <c r="BG28" i="11"/>
  <c r="BD28" i="11"/>
  <c r="AW28" i="11"/>
  <c r="AO28" i="11"/>
  <c r="AL28" i="11"/>
  <c r="AE28" i="11"/>
  <c r="T28" i="11"/>
  <c r="M28" i="11"/>
  <c r="BG27" i="11"/>
  <c r="BD27" i="11"/>
  <c r="AW27" i="11"/>
  <c r="AO27" i="11"/>
  <c r="AL27" i="11"/>
  <c r="AE27" i="11"/>
  <c r="T27" i="11"/>
  <c r="M27" i="11"/>
  <c r="BJ26" i="11"/>
  <c r="BG26" i="11"/>
  <c r="BD26" i="11"/>
  <c r="AW26" i="11"/>
  <c r="AO26" i="11"/>
  <c r="AL26" i="11"/>
  <c r="AE26" i="11"/>
  <c r="T26" i="11"/>
  <c r="M26" i="11"/>
  <c r="BG25" i="11"/>
  <c r="BD25" i="11"/>
  <c r="AW25" i="11"/>
  <c r="AO25" i="11"/>
  <c r="AL25" i="11"/>
  <c r="AE25" i="11"/>
  <c r="W25" i="11"/>
  <c r="T25" i="11"/>
  <c r="M25" i="11"/>
  <c r="BG24" i="11"/>
  <c r="BD24" i="11"/>
  <c r="AW24" i="11"/>
  <c r="AO24" i="11"/>
  <c r="AL24" i="11"/>
  <c r="AE24" i="11"/>
  <c r="T24" i="11"/>
  <c r="M24" i="11"/>
  <c r="BG23" i="11"/>
  <c r="BD23" i="11"/>
  <c r="AW23" i="11"/>
  <c r="AO23" i="11"/>
  <c r="AL23" i="11"/>
  <c r="AE23" i="11"/>
  <c r="W23" i="11"/>
  <c r="T23" i="11"/>
  <c r="M23" i="11"/>
  <c r="BG22" i="11"/>
  <c r="BD22" i="11"/>
  <c r="AW22" i="11"/>
  <c r="AO22" i="11"/>
  <c r="AL22" i="11"/>
  <c r="AE22" i="11"/>
  <c r="T22" i="11"/>
  <c r="M22" i="11"/>
  <c r="X22" i="11" s="1"/>
  <c r="BG21" i="11"/>
  <c r="BD21" i="11"/>
  <c r="AW21" i="11"/>
  <c r="AO21" i="11"/>
  <c r="AL21" i="11"/>
  <c r="AE21" i="11"/>
  <c r="W21" i="11"/>
  <c r="T21" i="11"/>
  <c r="M21" i="11"/>
  <c r="BG20" i="11"/>
  <c r="BD20" i="11"/>
  <c r="AW20" i="11"/>
  <c r="AO20" i="11"/>
  <c r="AL20" i="11"/>
  <c r="AE20" i="11"/>
  <c r="W20" i="11"/>
  <c r="T20" i="11"/>
  <c r="M20" i="11"/>
  <c r="BG19" i="11"/>
  <c r="BD19" i="11"/>
  <c r="AW19" i="11"/>
  <c r="AO19" i="11"/>
  <c r="AL19" i="11"/>
  <c r="AE19" i="11"/>
  <c r="W19" i="11"/>
  <c r="T19" i="11"/>
  <c r="M19" i="11"/>
  <c r="BG18" i="11"/>
  <c r="BD18" i="11"/>
  <c r="AW18" i="11"/>
  <c r="AO18" i="11"/>
  <c r="AL18" i="11"/>
  <c r="AE18" i="11"/>
  <c r="W18" i="11"/>
  <c r="T18" i="11"/>
  <c r="M18" i="11"/>
  <c r="BG17" i="11"/>
  <c r="BD17" i="11"/>
  <c r="AW17" i="11"/>
  <c r="AO17" i="11"/>
  <c r="AL17" i="11"/>
  <c r="AE17" i="11"/>
  <c r="W17" i="11"/>
  <c r="T17" i="11"/>
  <c r="M17" i="11"/>
  <c r="BG16" i="11"/>
  <c r="BD16" i="11"/>
  <c r="AW16" i="11"/>
  <c r="AO16" i="11"/>
  <c r="AL16" i="11"/>
  <c r="AE16" i="11"/>
  <c r="W16" i="11"/>
  <c r="T16" i="11"/>
  <c r="M16" i="11"/>
  <c r="BG15" i="11"/>
  <c r="BD15" i="11"/>
  <c r="AW15" i="11"/>
  <c r="AO15" i="11"/>
  <c r="AL15" i="11"/>
  <c r="AE15" i="11"/>
  <c r="W15" i="11"/>
  <c r="T15" i="11"/>
  <c r="M15" i="11"/>
  <c r="BG14" i="11"/>
  <c r="BD14" i="11"/>
  <c r="AW14" i="11"/>
  <c r="AO14" i="11"/>
  <c r="AL14" i="11"/>
  <c r="AE14" i="11"/>
  <c r="W14" i="11"/>
  <c r="T14" i="11"/>
  <c r="M14" i="11"/>
  <c r="BG13" i="11"/>
  <c r="BD13" i="11"/>
  <c r="AW13" i="11"/>
  <c r="AO13" i="11"/>
  <c r="AL13" i="11"/>
  <c r="AE13" i="11"/>
  <c r="W13" i="11"/>
  <c r="T13" i="11"/>
  <c r="M13" i="11"/>
  <c r="BG12" i="11"/>
  <c r="BD12" i="11"/>
  <c r="AW12" i="11"/>
  <c r="AO12" i="11"/>
  <c r="AL12" i="11"/>
  <c r="AE12" i="11"/>
  <c r="W12" i="11"/>
  <c r="T12" i="11"/>
  <c r="M12" i="11"/>
  <c r="BG11" i="11"/>
  <c r="BD11" i="11"/>
  <c r="AW11" i="11"/>
  <c r="AO11" i="11"/>
  <c r="AL11" i="11"/>
  <c r="AE11" i="11"/>
  <c r="W11" i="11"/>
  <c r="T11" i="11"/>
  <c r="M11" i="11"/>
  <c r="BG10" i="11"/>
  <c r="BD10" i="11"/>
  <c r="AW10" i="11"/>
  <c r="AO10" i="11"/>
  <c r="AL10" i="11"/>
  <c r="AE10" i="11"/>
  <c r="W10" i="11"/>
  <c r="T10" i="11"/>
  <c r="M10" i="11"/>
  <c r="BG9" i="11"/>
  <c r="BD9" i="11"/>
  <c r="AW9" i="11"/>
  <c r="AO9" i="11"/>
  <c r="AL9" i="11"/>
  <c r="AE9" i="11"/>
  <c r="W9" i="11"/>
  <c r="T9" i="11"/>
  <c r="M9" i="11"/>
  <c r="BG8" i="11"/>
  <c r="BD8" i="11"/>
  <c r="AW8" i="11"/>
  <c r="AO8" i="11"/>
  <c r="AL8" i="11"/>
  <c r="AE8" i="11"/>
  <c r="T8" i="11"/>
  <c r="M8" i="11"/>
  <c r="BG7" i="11"/>
  <c r="BD7" i="11"/>
  <c r="AW7" i="11"/>
  <c r="AO7" i="11"/>
  <c r="AL7" i="11"/>
  <c r="AE7" i="11"/>
  <c r="W7" i="11"/>
  <c r="T7" i="11"/>
  <c r="M7" i="11"/>
  <c r="S24" i="10"/>
  <c r="R24" i="10"/>
  <c r="P24" i="10"/>
  <c r="O24" i="10"/>
  <c r="N24" i="10"/>
  <c r="M24" i="10"/>
  <c r="L24" i="10"/>
  <c r="K24" i="10"/>
  <c r="I24" i="10"/>
  <c r="H24" i="10"/>
  <c r="G24" i="10"/>
  <c r="F24" i="10"/>
  <c r="E24" i="10"/>
  <c r="D24" i="10"/>
  <c r="T23" i="10"/>
  <c r="Q23" i="10"/>
  <c r="J23" i="10"/>
  <c r="Q22" i="10"/>
  <c r="J22" i="10"/>
  <c r="T21" i="10"/>
  <c r="Q21" i="10"/>
  <c r="J21" i="10"/>
  <c r="T20" i="10"/>
  <c r="Q20" i="10"/>
  <c r="J20" i="10"/>
  <c r="T19" i="10"/>
  <c r="Q19" i="10"/>
  <c r="J19" i="10"/>
  <c r="Q18" i="10"/>
  <c r="J18" i="10"/>
  <c r="Q17" i="10"/>
  <c r="J17" i="10"/>
  <c r="T16" i="10"/>
  <c r="Q16" i="10"/>
  <c r="J16" i="10"/>
  <c r="T15" i="10"/>
  <c r="Q15" i="10"/>
  <c r="J15" i="10"/>
  <c r="T14" i="10"/>
  <c r="Q14" i="10"/>
  <c r="J14" i="10"/>
  <c r="T13" i="10"/>
  <c r="Q13" i="10"/>
  <c r="J13" i="10"/>
  <c r="T12" i="10"/>
  <c r="Q12" i="10"/>
  <c r="J12" i="10"/>
  <c r="T11" i="10"/>
  <c r="Q11" i="10"/>
  <c r="J11" i="10"/>
  <c r="Q10" i="10"/>
  <c r="J10" i="10"/>
  <c r="T9" i="10"/>
  <c r="Q9" i="10"/>
  <c r="J9" i="10"/>
  <c r="T8" i="10"/>
  <c r="Q8" i="10"/>
  <c r="J8" i="10"/>
  <c r="T7" i="10"/>
  <c r="U7" i="10" s="1"/>
  <c r="Q7" i="10"/>
  <c r="U20" i="10" l="1"/>
  <c r="X30" i="11"/>
  <c r="U10" i="10"/>
  <c r="X17" i="11"/>
  <c r="BH19" i="11"/>
  <c r="U12" i="10"/>
  <c r="U19" i="10"/>
  <c r="U14" i="10"/>
  <c r="X21" i="11"/>
  <c r="U22" i="10"/>
  <c r="U11" i="10"/>
  <c r="U15" i="10"/>
  <c r="X24" i="11"/>
  <c r="J24" i="10"/>
  <c r="BH31" i="11"/>
  <c r="AP8" i="11"/>
  <c r="AP20" i="11"/>
  <c r="U17" i="10"/>
  <c r="U23" i="10"/>
  <c r="T24" i="10"/>
  <c r="U13" i="10"/>
  <c r="U9" i="10"/>
  <c r="U21" i="10"/>
  <c r="U18" i="10"/>
  <c r="BH22" i="11"/>
  <c r="X26" i="11"/>
  <c r="X25" i="11"/>
  <c r="AP11" i="11"/>
  <c r="AP27" i="11"/>
  <c r="X12" i="11"/>
  <c r="AP13" i="11"/>
  <c r="BH14" i="11"/>
  <c r="X16" i="11"/>
  <c r="BH16" i="11"/>
  <c r="W32" i="11"/>
  <c r="M32" i="11"/>
  <c r="BG32" i="11"/>
  <c r="AP28" i="11"/>
  <c r="BH12" i="11"/>
  <c r="X14" i="11"/>
  <c r="AP16" i="11"/>
  <c r="BH30" i="11"/>
  <c r="T32" i="11"/>
  <c r="X9" i="11"/>
  <c r="BH11" i="11"/>
  <c r="AP12" i="11"/>
  <c r="BH20" i="11"/>
  <c r="BH28" i="11"/>
  <c r="AP30" i="11"/>
  <c r="AP14" i="11"/>
  <c r="BH15" i="11"/>
  <c r="AP22" i="11"/>
  <c r="BH23" i="11"/>
  <c r="X27" i="11"/>
  <c r="X28" i="11"/>
  <c r="X29" i="11"/>
  <c r="AP7" i="11"/>
  <c r="BD32" i="11"/>
  <c r="BH8" i="11"/>
  <c r="AP9" i="11"/>
  <c r="X10" i="11"/>
  <c r="AL32" i="11"/>
  <c r="BH13" i="11"/>
  <c r="BH17" i="11"/>
  <c r="AP18" i="11"/>
  <c r="X19" i="11"/>
  <c r="BH21" i="11"/>
  <c r="X23" i="11"/>
  <c r="BH25" i="11"/>
  <c r="BH26" i="11"/>
  <c r="BH29" i="11"/>
  <c r="X31" i="11"/>
  <c r="AP17" i="11"/>
  <c r="X18" i="11"/>
  <c r="AP21" i="11"/>
  <c r="BH24" i="11"/>
  <c r="AP25" i="11"/>
  <c r="AP26" i="11"/>
  <c r="BH27" i="11"/>
  <c r="AP29" i="11"/>
  <c r="AO32" i="11"/>
  <c r="X8" i="11"/>
  <c r="BH10" i="11"/>
  <c r="X13" i="11"/>
  <c r="AP15" i="11"/>
  <c r="AP24" i="11"/>
  <c r="AW32" i="11"/>
  <c r="BH9" i="11"/>
  <c r="AP10" i="11"/>
  <c r="X11" i="11"/>
  <c r="X15" i="11"/>
  <c r="BH18" i="11"/>
  <c r="AP19" i="11"/>
  <c r="X20" i="11"/>
  <c r="AP23" i="11"/>
  <c r="AP31" i="11"/>
  <c r="U16" i="10"/>
  <c r="Q24" i="10"/>
  <c r="AE32" i="11"/>
  <c r="X7" i="11"/>
  <c r="BH7" i="11"/>
  <c r="U8" i="10"/>
  <c r="BI22" i="11" l="1"/>
  <c r="BJ22" i="11" s="1"/>
  <c r="BI25" i="11"/>
  <c r="BJ25" i="11" s="1"/>
  <c r="BI20" i="11"/>
  <c r="BJ20" i="11" s="1"/>
  <c r="U24" i="10"/>
  <c r="BI11" i="11"/>
  <c r="BI12" i="11"/>
  <c r="BJ12" i="11" s="1"/>
  <c r="BI30" i="11"/>
  <c r="BJ30" i="11" s="1"/>
  <c r="BI8" i="11"/>
  <c r="BJ8" i="11" s="1"/>
  <c r="BI9" i="11"/>
  <c r="BJ9" i="11" s="1"/>
  <c r="BI14" i="11"/>
  <c r="BJ14" i="11" s="1"/>
  <c r="BI16" i="11"/>
  <c r="BJ16" i="11" s="1"/>
  <c r="BI19" i="11"/>
  <c r="BJ19" i="11" s="1"/>
  <c r="BI23" i="11"/>
  <c r="BJ23" i="11" s="1"/>
  <c r="BI17" i="11"/>
  <c r="BJ17" i="11" s="1"/>
  <c r="BI27" i="11"/>
  <c r="BJ27" i="11" s="1"/>
  <c r="BI21" i="11"/>
  <c r="BJ21" i="11" s="1"/>
  <c r="BI28" i="11"/>
  <c r="BJ28" i="11" s="1"/>
  <c r="BI18" i="11"/>
  <c r="BJ18" i="11" s="1"/>
  <c r="BI31" i="11"/>
  <c r="BJ31" i="11" s="1"/>
  <c r="BI13" i="11"/>
  <c r="BJ13" i="11" s="1"/>
  <c r="AP32" i="11"/>
  <c r="BI15" i="11"/>
  <c r="BJ15" i="11" s="1"/>
  <c r="BI29" i="11"/>
  <c r="BJ29" i="11" s="1"/>
  <c r="X32" i="11"/>
  <c r="BI10" i="11"/>
  <c r="BJ10" i="11" s="1"/>
  <c r="BI24" i="11"/>
  <c r="BJ24" i="11" s="1"/>
  <c r="BI7" i="11"/>
  <c r="BH32" i="11"/>
  <c r="BI32" i="11" l="1"/>
  <c r="BJ7" i="11"/>
  <c r="BJ32" i="11" s="1"/>
  <c r="AN44" i="6" l="1"/>
  <c r="AN45" i="6"/>
  <c r="AN46" i="6"/>
  <c r="AN47" i="6"/>
  <c r="AN48" i="6"/>
  <c r="AN49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43" i="6"/>
  <c r="R21" i="7" l="1"/>
  <c r="R22" i="7"/>
  <c r="R23" i="7"/>
  <c r="R25" i="7"/>
  <c r="R26" i="7"/>
  <c r="R27" i="7"/>
  <c r="R28" i="7"/>
  <c r="R29" i="7"/>
  <c r="R30" i="7"/>
  <c r="R34" i="7"/>
  <c r="R35" i="7"/>
  <c r="R36" i="7"/>
  <c r="J24" i="7"/>
  <c r="L24" i="7" s="1"/>
  <c r="AB24" i="7"/>
  <c r="Z24" i="7"/>
  <c r="N24" i="7" l="1"/>
  <c r="O24" i="7" s="1"/>
  <c r="AD24" i="7" s="1"/>
  <c r="AE24" i="7" s="1"/>
  <c r="AF24" i="7" s="1"/>
  <c r="O44" i="6"/>
  <c r="O45" i="6"/>
  <c r="O46" i="6"/>
  <c r="V46" i="6" s="1"/>
  <c r="O47" i="6"/>
  <c r="V47" i="6" s="1"/>
  <c r="O48" i="6"/>
  <c r="V48" i="6" s="1"/>
  <c r="O49" i="6"/>
  <c r="V49" i="6" s="1"/>
  <c r="O50" i="6"/>
  <c r="V50" i="6" s="1"/>
  <c r="O51" i="6"/>
  <c r="V51" i="6" s="1"/>
  <c r="O52" i="6"/>
  <c r="O53" i="6"/>
  <c r="V53" i="6" s="1"/>
  <c r="O54" i="6"/>
  <c r="V54" i="6" s="1"/>
  <c r="O55" i="6"/>
  <c r="O56" i="6"/>
  <c r="O57" i="6"/>
  <c r="O58" i="6"/>
  <c r="V58" i="6" s="1"/>
  <c r="O59" i="6"/>
  <c r="O60" i="6"/>
  <c r="V60" i="6" s="1"/>
  <c r="O61" i="6"/>
  <c r="V61" i="6" s="1"/>
  <c r="O62" i="6"/>
  <c r="V62" i="6" s="1"/>
  <c r="O63" i="6"/>
  <c r="V63" i="6" s="1"/>
  <c r="O64" i="6"/>
  <c r="V64" i="6" s="1"/>
  <c r="O65" i="6"/>
  <c r="O66" i="6"/>
  <c r="V66" i="6" s="1"/>
  <c r="O67" i="6"/>
  <c r="J20" i="8"/>
  <c r="L20" i="8" s="1"/>
  <c r="J21" i="8"/>
  <c r="L21" i="8" s="1"/>
  <c r="N21" i="8" s="1"/>
  <c r="O21" i="8" s="1"/>
  <c r="AE21" i="8" s="1"/>
  <c r="Z36" i="7"/>
  <c r="Z34" i="7"/>
  <c r="Z35" i="7"/>
  <c r="V28" i="7"/>
  <c r="V29" i="7"/>
  <c r="V30" i="7"/>
  <c r="V34" i="7"/>
  <c r="V35" i="7"/>
  <c r="V36" i="7"/>
  <c r="U24" i="8"/>
  <c r="U25" i="8"/>
  <c r="U26" i="8"/>
  <c r="AB27" i="8"/>
  <c r="Z27" i="8"/>
  <c r="X27" i="8"/>
  <c r="V27" i="8"/>
  <c r="T27" i="8"/>
  <c r="R27" i="8"/>
  <c r="J26" i="8"/>
  <c r="L26" i="8" s="1"/>
  <c r="AC25" i="8"/>
  <c r="AA25" i="8"/>
  <c r="Y25" i="8"/>
  <c r="W25" i="8"/>
  <c r="S25" i="8"/>
  <c r="J25" i="8"/>
  <c r="L25" i="8" s="1"/>
  <c r="J24" i="8"/>
  <c r="AC23" i="8"/>
  <c r="AA23" i="8"/>
  <c r="Y23" i="8"/>
  <c r="W23" i="8"/>
  <c r="U23" i="8"/>
  <c r="S23" i="8"/>
  <c r="S27" i="8" s="1"/>
  <c r="J23" i="8"/>
  <c r="J22" i="8"/>
  <c r="N68" i="6"/>
  <c r="V44" i="6"/>
  <c r="V45" i="6"/>
  <c r="V55" i="6"/>
  <c r="V56" i="6"/>
  <c r="V65" i="6"/>
  <c r="V67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AC37" i="7"/>
  <c r="AA37" i="7"/>
  <c r="Y37" i="7"/>
  <c r="W37" i="7"/>
  <c r="U37" i="7"/>
  <c r="S37" i="7"/>
  <c r="Q37" i="7"/>
  <c r="P37" i="7"/>
  <c r="M37" i="7"/>
  <c r="I37" i="7"/>
  <c r="J36" i="7"/>
  <c r="X35" i="7"/>
  <c r="T35" i="7"/>
  <c r="J35" i="7"/>
  <c r="J34" i="7"/>
  <c r="Z30" i="7"/>
  <c r="X30" i="7"/>
  <c r="T30" i="7"/>
  <c r="J30" i="7"/>
  <c r="Z29" i="7"/>
  <c r="X29" i="7"/>
  <c r="T29" i="7"/>
  <c r="J29" i="7"/>
  <c r="Z28" i="7"/>
  <c r="X28" i="7"/>
  <c r="T28" i="7"/>
  <c r="J28" i="7"/>
  <c r="AB27" i="7"/>
  <c r="Z27" i="7"/>
  <c r="X27" i="7"/>
  <c r="V27" i="7"/>
  <c r="T27" i="7"/>
  <c r="J27" i="7"/>
  <c r="AB26" i="7"/>
  <c r="Z26" i="7"/>
  <c r="X26" i="7"/>
  <c r="V26" i="7"/>
  <c r="T26" i="7"/>
  <c r="J26" i="7"/>
  <c r="L26" i="7" s="1"/>
  <c r="N26" i="7" s="1"/>
  <c r="AB25" i="7"/>
  <c r="Z25" i="7"/>
  <c r="J25" i="7"/>
  <c r="AB23" i="7"/>
  <c r="Z23" i="7"/>
  <c r="J23" i="7"/>
  <c r="AB22" i="7"/>
  <c r="Z22" i="7"/>
  <c r="X22" i="7"/>
  <c r="V22" i="7"/>
  <c r="T22" i="7"/>
  <c r="J22" i="7"/>
  <c r="AB21" i="7"/>
  <c r="Z21" i="7"/>
  <c r="X21" i="7"/>
  <c r="V21" i="7"/>
  <c r="T21" i="7"/>
  <c r="J21" i="7"/>
  <c r="L21" i="7" s="1"/>
  <c r="N21" i="7" s="1"/>
  <c r="AB20" i="7"/>
  <c r="Z20" i="7"/>
  <c r="X20" i="7"/>
  <c r="V20" i="7"/>
  <c r="T20" i="7"/>
  <c r="R20" i="7"/>
  <c r="J20" i="7"/>
  <c r="J55" i="6" l="1"/>
  <c r="L55" i="6"/>
  <c r="K55" i="6"/>
  <c r="J51" i="6"/>
  <c r="L51" i="6" s="1"/>
  <c r="L66" i="6"/>
  <c r="J50" i="6"/>
  <c r="L50" i="6"/>
  <c r="K50" i="6"/>
  <c r="AA27" i="8"/>
  <c r="J52" i="6"/>
  <c r="K52" i="6"/>
  <c r="L52" i="6"/>
  <c r="J61" i="6"/>
  <c r="K61" i="6" s="1"/>
  <c r="J49" i="6"/>
  <c r="K49" i="6"/>
  <c r="L49" i="6"/>
  <c r="W49" i="6" s="1"/>
  <c r="J53" i="6"/>
  <c r="K53" i="6" s="1"/>
  <c r="J48" i="6"/>
  <c r="K48" i="6" s="1"/>
  <c r="J59" i="6"/>
  <c r="K59" i="6" s="1"/>
  <c r="J47" i="6"/>
  <c r="K47" i="6" s="1"/>
  <c r="L47" i="6"/>
  <c r="W47" i="6" s="1"/>
  <c r="J58" i="6"/>
  <c r="K58" i="6"/>
  <c r="L58" i="6"/>
  <c r="J46" i="6"/>
  <c r="K46" i="6" s="1"/>
  <c r="J57" i="6"/>
  <c r="K57" i="6"/>
  <c r="L57" i="6"/>
  <c r="J45" i="6"/>
  <c r="L45" i="6"/>
  <c r="K45" i="6"/>
  <c r="J54" i="6"/>
  <c r="L54" i="6" s="1"/>
  <c r="Z54" i="6" s="1"/>
  <c r="J56" i="6"/>
  <c r="K56" i="6"/>
  <c r="L56" i="6"/>
  <c r="J44" i="6"/>
  <c r="L44" i="6"/>
  <c r="K44" i="6"/>
  <c r="J27" i="8"/>
  <c r="N20" i="8"/>
  <c r="Q50" i="6"/>
  <c r="U27" i="8"/>
  <c r="W50" i="6"/>
  <c r="W27" i="8"/>
  <c r="AC27" i="8"/>
  <c r="O26" i="7"/>
  <c r="AD26" i="7" s="1"/>
  <c r="AE26" i="7" s="1"/>
  <c r="AF26" i="7" s="1"/>
  <c r="L36" i="7"/>
  <c r="N36" i="7" s="1"/>
  <c r="L24" i="8"/>
  <c r="N24" i="8" s="1"/>
  <c r="N26" i="8"/>
  <c r="O26" i="8" s="1"/>
  <c r="AE26" i="8" s="1"/>
  <c r="L20" i="7"/>
  <c r="N20" i="7" s="1"/>
  <c r="L29" i="7"/>
  <c r="N29" i="7" s="1"/>
  <c r="O29" i="7" s="1"/>
  <c r="L25" i="7"/>
  <c r="N25" i="7" s="1"/>
  <c r="L30" i="7"/>
  <c r="N30" i="7" s="1"/>
  <c r="AB37" i="7"/>
  <c r="N25" i="8"/>
  <c r="O25" i="8" s="1"/>
  <c r="AE25" i="8" s="1"/>
  <c r="L35" i="7"/>
  <c r="L28" i="7"/>
  <c r="N28" i="7" s="1"/>
  <c r="O28" i="7" s="1"/>
  <c r="AD28" i="7" s="1"/>
  <c r="AE28" i="7" s="1"/>
  <c r="AF28" i="7" s="1"/>
  <c r="L23" i="7"/>
  <c r="N23" i="7" s="1"/>
  <c r="O23" i="7" s="1"/>
  <c r="W56" i="6"/>
  <c r="O21" i="7"/>
  <c r="W44" i="6"/>
  <c r="L34" i="7"/>
  <c r="N34" i="7" s="1"/>
  <c r="O34" i="7" s="1"/>
  <c r="L27" i="7"/>
  <c r="N27" i="7" s="1"/>
  <c r="L22" i="7"/>
  <c r="Q21" i="8"/>
  <c r="R37" i="7"/>
  <c r="Z37" i="7"/>
  <c r="V37" i="7"/>
  <c r="T37" i="7"/>
  <c r="X37" i="7"/>
  <c r="J37" i="7"/>
  <c r="L22" i="8"/>
  <c r="N22" i="8" s="1"/>
  <c r="Y27" i="8"/>
  <c r="L23" i="8"/>
  <c r="J67" i="6"/>
  <c r="K67" i="6" s="1"/>
  <c r="J66" i="6"/>
  <c r="K66" i="6" s="1"/>
  <c r="J65" i="6"/>
  <c r="L65" i="6" s="1"/>
  <c r="J64" i="6"/>
  <c r="L64" i="6" s="1"/>
  <c r="J63" i="6"/>
  <c r="L63" i="6" s="1"/>
  <c r="J62" i="6"/>
  <c r="L62" i="6" s="1"/>
  <c r="J60" i="6"/>
  <c r="L60" i="6" s="1"/>
  <c r="L59" i="6" l="1"/>
  <c r="K60" i="6"/>
  <c r="K51" i="6"/>
  <c r="K54" i="6"/>
  <c r="L53" i="6"/>
  <c r="W53" i="6" s="1"/>
  <c r="L46" i="6"/>
  <c r="L48" i="6"/>
  <c r="W48" i="6" s="1"/>
  <c r="K64" i="6"/>
  <c r="K63" i="6"/>
  <c r="K65" i="6"/>
  <c r="L61" i="6"/>
  <c r="W61" i="6" s="1"/>
  <c r="K62" i="6"/>
  <c r="L67" i="6"/>
  <c r="W54" i="6"/>
  <c r="L27" i="8"/>
  <c r="Z50" i="6"/>
  <c r="P50" i="6"/>
  <c r="R50" i="6" s="1"/>
  <c r="S50" i="6" s="1"/>
  <c r="O20" i="8"/>
  <c r="AF21" i="8"/>
  <c r="AG21" i="8" s="1"/>
  <c r="Q58" i="6"/>
  <c r="P58" i="6"/>
  <c r="Z58" i="6"/>
  <c r="Q46" i="6"/>
  <c r="P46" i="6"/>
  <c r="O27" i="7"/>
  <c r="AD27" i="7" s="1"/>
  <c r="AE27" i="7" s="1"/>
  <c r="AF27" i="7" s="1"/>
  <c r="O36" i="7"/>
  <c r="AD36" i="7" s="1"/>
  <c r="AE36" i="7" s="1"/>
  <c r="AF36" i="7" s="1"/>
  <c r="W58" i="6"/>
  <c r="Z67" i="6"/>
  <c r="Q54" i="6"/>
  <c r="P54" i="6"/>
  <c r="Q25" i="8"/>
  <c r="AF25" i="8" s="1"/>
  <c r="Q26" i="8"/>
  <c r="AF26" i="8" s="1"/>
  <c r="AG26" i="8" s="1"/>
  <c r="AD23" i="7"/>
  <c r="AE23" i="7" s="1"/>
  <c r="AF23" i="7" s="1"/>
  <c r="P63" i="6"/>
  <c r="Q63" i="6"/>
  <c r="Z63" i="6"/>
  <c r="W63" i="6"/>
  <c r="AD34" i="7"/>
  <c r="AE34" i="7" s="1"/>
  <c r="AF34" i="7" s="1"/>
  <c r="AD29" i="7"/>
  <c r="AE29" i="7" s="1"/>
  <c r="AF29" i="7" s="1"/>
  <c r="P51" i="6"/>
  <c r="Z51" i="6"/>
  <c r="Q51" i="6"/>
  <c r="P45" i="6"/>
  <c r="Z45" i="6"/>
  <c r="Q45" i="6"/>
  <c r="N23" i="8"/>
  <c r="O23" i="8" s="1"/>
  <c r="AE23" i="8" s="1"/>
  <c r="P55" i="6"/>
  <c r="Q55" i="6"/>
  <c r="Z55" i="6"/>
  <c r="W51" i="6"/>
  <c r="Q52" i="6"/>
  <c r="Z52" i="6"/>
  <c r="P52" i="6"/>
  <c r="N35" i="7"/>
  <c r="O35" i="7" s="1"/>
  <c r="AD35" i="7" s="1"/>
  <c r="AE35" i="7" s="1"/>
  <c r="AF35" i="7" s="1"/>
  <c r="O25" i="7"/>
  <c r="P49" i="6"/>
  <c r="Z49" i="6"/>
  <c r="Q49" i="6"/>
  <c r="W55" i="6"/>
  <c r="Q67" i="6"/>
  <c r="P67" i="6"/>
  <c r="Q48" i="6"/>
  <c r="Z48" i="6"/>
  <c r="P48" i="6"/>
  <c r="Z59" i="6"/>
  <c r="P59" i="6"/>
  <c r="Q59" i="6"/>
  <c r="N22" i="7"/>
  <c r="O22" i="7" s="1"/>
  <c r="AD22" i="7" s="1"/>
  <c r="AE22" i="7" s="1"/>
  <c r="AF22" i="7" s="1"/>
  <c r="Q56" i="6"/>
  <c r="Z56" i="6"/>
  <c r="P56" i="6"/>
  <c r="O30" i="7"/>
  <c r="AD30" i="7" s="1"/>
  <c r="AE30" i="7" s="1"/>
  <c r="AF30" i="7" s="1"/>
  <c r="P53" i="6"/>
  <c r="Z53" i="6"/>
  <c r="Q53" i="6"/>
  <c r="AD21" i="7"/>
  <c r="AE21" i="7" s="1"/>
  <c r="AF21" i="7" s="1"/>
  <c r="P61" i="6"/>
  <c r="Q61" i="6"/>
  <c r="Z61" i="6"/>
  <c r="O24" i="8"/>
  <c r="AE24" i="8" s="1"/>
  <c r="Z47" i="6"/>
  <c r="P47" i="6"/>
  <c r="Q47" i="6"/>
  <c r="Q44" i="6"/>
  <c r="Z44" i="6"/>
  <c r="P44" i="6"/>
  <c r="W45" i="6"/>
  <c r="P57" i="6"/>
  <c r="Z57" i="6"/>
  <c r="Q57" i="6"/>
  <c r="O22" i="8"/>
  <c r="AE22" i="8" s="1"/>
  <c r="O20" i="7"/>
  <c r="L37" i="7"/>
  <c r="R47" i="6" l="1"/>
  <c r="S47" i="6" s="1"/>
  <c r="Z46" i="6"/>
  <c r="W46" i="6"/>
  <c r="R44" i="6"/>
  <c r="S44" i="6" s="1"/>
  <c r="R56" i="6"/>
  <c r="S56" i="6" s="1"/>
  <c r="R45" i="6"/>
  <c r="S45" i="6" s="1"/>
  <c r="R54" i="6"/>
  <c r="S54" i="6" s="1"/>
  <c r="R46" i="6"/>
  <c r="S46" i="6" s="1"/>
  <c r="AE20" i="8"/>
  <c r="AE27" i="8" s="1"/>
  <c r="O27" i="8"/>
  <c r="Q20" i="8"/>
  <c r="AF20" i="8" s="1"/>
  <c r="AG20" i="8" s="1"/>
  <c r="R67" i="6"/>
  <c r="S67" i="6" s="1"/>
  <c r="R58" i="6"/>
  <c r="S58" i="6" s="1"/>
  <c r="N27" i="8"/>
  <c r="AG25" i="8"/>
  <c r="N37" i="7"/>
  <c r="R57" i="6"/>
  <c r="S57" i="6" s="1"/>
  <c r="W67" i="6"/>
  <c r="R49" i="6"/>
  <c r="S49" i="6" s="1"/>
  <c r="Q23" i="8"/>
  <c r="AF23" i="8" s="1"/>
  <c r="AG23" i="8" s="1"/>
  <c r="Z65" i="6"/>
  <c r="Q65" i="6"/>
  <c r="P65" i="6"/>
  <c r="W65" i="6"/>
  <c r="AD25" i="7"/>
  <c r="AE25" i="7" s="1"/>
  <c r="AF25" i="7" s="1"/>
  <c r="R55" i="6"/>
  <c r="S55" i="6" s="1"/>
  <c r="R61" i="6"/>
  <c r="R53" i="6"/>
  <c r="P66" i="6"/>
  <c r="Q66" i="6"/>
  <c r="Z66" i="6"/>
  <c r="W66" i="6"/>
  <c r="R48" i="6"/>
  <c r="AO47" i="6"/>
  <c r="Q22" i="8"/>
  <c r="Z60" i="6"/>
  <c r="P60" i="6"/>
  <c r="Q60" i="6"/>
  <c r="W60" i="6"/>
  <c r="Q24" i="8"/>
  <c r="AF24" i="8" s="1"/>
  <c r="AG24" i="8" s="1"/>
  <c r="R59" i="6"/>
  <c r="S59" i="6" s="1"/>
  <c r="P62" i="6"/>
  <c r="Z62" i="6"/>
  <c r="Q62" i="6"/>
  <c r="W62" i="6"/>
  <c r="R52" i="6"/>
  <c r="S52" i="6" s="1"/>
  <c r="R51" i="6"/>
  <c r="S51" i="6" s="1"/>
  <c r="R63" i="6"/>
  <c r="S63" i="6" s="1"/>
  <c r="Q64" i="6"/>
  <c r="W64" i="6"/>
  <c r="Z64" i="6"/>
  <c r="P64" i="6"/>
  <c r="AD20" i="7"/>
  <c r="AE20" i="7" s="1"/>
  <c r="AF20" i="7" s="1"/>
  <c r="O37" i="7"/>
  <c r="Q27" i="8" l="1"/>
  <c r="S61" i="6"/>
  <c r="AE37" i="7"/>
  <c r="R60" i="6"/>
  <c r="S60" i="6" s="1"/>
  <c r="AF22" i="8"/>
  <c r="AF27" i="8" s="1"/>
  <c r="S48" i="6"/>
  <c r="R66" i="6"/>
  <c r="S66" i="6" s="1"/>
  <c r="R62" i="6"/>
  <c r="S62" i="6" s="1"/>
  <c r="S53" i="6"/>
  <c r="AO53" i="6" s="1"/>
  <c r="R65" i="6"/>
  <c r="S65" i="6" s="1"/>
  <c r="R64" i="6"/>
  <c r="AD37" i="7"/>
  <c r="AF37" i="7"/>
  <c r="AG22" i="8" l="1"/>
  <c r="AG27" i="8" s="1"/>
  <c r="S64" i="6"/>
  <c r="U49" i="6" l="1"/>
  <c r="U50" i="6"/>
  <c r="U51" i="6"/>
  <c r="U52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43" i="6"/>
  <c r="U44" i="6"/>
  <c r="U45" i="6"/>
  <c r="U46" i="6"/>
  <c r="U48" i="6"/>
  <c r="V52" i="6"/>
  <c r="W52" i="6" s="1"/>
  <c r="V57" i="6"/>
  <c r="W57" i="6" s="1"/>
  <c r="O43" i="6"/>
  <c r="V43" i="6" s="1"/>
  <c r="O68" i="6" l="1"/>
  <c r="V59" i="6"/>
  <c r="W59" i="6" s="1"/>
  <c r="AH44" i="6"/>
  <c r="AH45" i="6"/>
  <c r="AH46" i="6"/>
  <c r="AH48" i="6"/>
  <c r="AH49" i="6"/>
  <c r="AH50" i="6"/>
  <c r="AH51" i="6"/>
  <c r="AH52" i="6"/>
  <c r="AH54" i="6"/>
  <c r="AH55" i="6"/>
  <c r="AO55" i="6" s="1"/>
  <c r="AH56" i="6"/>
  <c r="AH57" i="6"/>
  <c r="AH58" i="6"/>
  <c r="AH59" i="6"/>
  <c r="AH60" i="6"/>
  <c r="AH61" i="6"/>
  <c r="AH62" i="6"/>
  <c r="AH63" i="6"/>
  <c r="AH64" i="6"/>
  <c r="AH65" i="6"/>
  <c r="AH66" i="6"/>
  <c r="AH67" i="6"/>
  <c r="AH43" i="6"/>
  <c r="AF68" i="6"/>
  <c r="AG68" i="6"/>
  <c r="AI44" i="6"/>
  <c r="AI45" i="6"/>
  <c r="AI46" i="6"/>
  <c r="AI48" i="6"/>
  <c r="AI49" i="6"/>
  <c r="AI50" i="6"/>
  <c r="AI51" i="6"/>
  <c r="AI52" i="6"/>
  <c r="AI54" i="6"/>
  <c r="AO54" i="6" s="1"/>
  <c r="AI55" i="6"/>
  <c r="AI56" i="6"/>
  <c r="AI57" i="6"/>
  <c r="AO57" i="6" s="1"/>
  <c r="AI58" i="6"/>
  <c r="AI59" i="6"/>
  <c r="AI60" i="6"/>
  <c r="AI61" i="6"/>
  <c r="AI62" i="6"/>
  <c r="AI63" i="6"/>
  <c r="AI64" i="6"/>
  <c r="AI65" i="6"/>
  <c r="AI66" i="6"/>
  <c r="AO66" i="6" s="1"/>
  <c r="AI67" i="6"/>
  <c r="AI43" i="6"/>
  <c r="AB68" i="6"/>
  <c r="AO45" i="6"/>
  <c r="I43" i="6"/>
  <c r="M68" i="6"/>
  <c r="T68" i="6"/>
  <c r="Y68" i="6"/>
  <c r="AA68" i="6"/>
  <c r="AC68" i="6"/>
  <c r="AJ68" i="6"/>
  <c r="AK68" i="6"/>
  <c r="AL68" i="6"/>
  <c r="AM68" i="6"/>
  <c r="AN68" i="6"/>
  <c r="AO64" i="6" l="1"/>
  <c r="AO51" i="6"/>
  <c r="AO50" i="6"/>
  <c r="AO63" i="6"/>
  <c r="AO56" i="6"/>
  <c r="AO65" i="6"/>
  <c r="AO62" i="6"/>
  <c r="AO61" i="6"/>
  <c r="AO44" i="6"/>
  <c r="AO59" i="6"/>
  <c r="AO67" i="6"/>
  <c r="AO48" i="6"/>
  <c r="AO49" i="6"/>
  <c r="AO60" i="6"/>
  <c r="AO58" i="6"/>
  <c r="AO46" i="6"/>
  <c r="AO52" i="6"/>
  <c r="AI68" i="6"/>
  <c r="AH68" i="6"/>
  <c r="AO31" i="6"/>
  <c r="AO29" i="6"/>
  <c r="AO27" i="6"/>
  <c r="AN11" i="6"/>
  <c r="AM11" i="6"/>
  <c r="AL11" i="6"/>
  <c r="AO10" i="6"/>
  <c r="AO9" i="6"/>
  <c r="AO8" i="6"/>
  <c r="AO6" i="6"/>
  <c r="AO5" i="6"/>
  <c r="AO4" i="6"/>
  <c r="AO3" i="6"/>
  <c r="I68" i="6"/>
  <c r="AE68" i="6"/>
  <c r="J43" i="6"/>
  <c r="L43" i="6" s="1"/>
  <c r="K43" i="6" l="1"/>
  <c r="Q43" i="6"/>
  <c r="Q68" i="6" s="1"/>
  <c r="P43" i="6"/>
  <c r="W43" i="6"/>
  <c r="Z43" i="6"/>
  <c r="U68" i="6"/>
  <c r="AD68" i="6"/>
  <c r="V68" i="6"/>
  <c r="AO11" i="6"/>
  <c r="R43" i="6" l="1"/>
  <c r="S43" i="6" s="1"/>
  <c r="AO43" i="6" s="1"/>
  <c r="K68" i="6"/>
  <c r="W68" i="6" l="1"/>
  <c r="P68" i="6"/>
  <c r="Z68" i="6"/>
  <c r="R68" i="6" l="1"/>
  <c r="AO68" i="6" l="1"/>
  <c r="S68" i="6"/>
</calcChain>
</file>

<file path=xl/sharedStrings.xml><?xml version="1.0" encoding="utf-8"?>
<sst xmlns="http://schemas.openxmlformats.org/spreadsheetml/2006/main" count="686" uniqueCount="383">
  <si>
    <t>1-4</t>
  </si>
  <si>
    <t>5-9</t>
  </si>
  <si>
    <t>10-11</t>
  </si>
  <si>
    <t>№  п/п</t>
  </si>
  <si>
    <t>Ф.И.О</t>
  </si>
  <si>
    <t>Категория</t>
  </si>
  <si>
    <t>Коэффициент</t>
  </si>
  <si>
    <t>Дополнительная оплата</t>
  </si>
  <si>
    <t>ИТОГО:</t>
  </si>
  <si>
    <t>Должностной оклад (17697* коэф)</t>
  </si>
  <si>
    <t>Директор школы</t>
  </si>
  <si>
    <t>высшее</t>
  </si>
  <si>
    <t>1-4 классы</t>
  </si>
  <si>
    <t>5-9 классы</t>
  </si>
  <si>
    <t>Педагогический стаж</t>
  </si>
  <si>
    <t>Всего заработная плата в месяц</t>
  </si>
  <si>
    <t>Занимаемая должность преподаваемого  предмета</t>
  </si>
  <si>
    <t xml:space="preserve">Образование </t>
  </si>
  <si>
    <t>заведующий мастерской</t>
  </si>
  <si>
    <t>заведующий кабинетом</t>
  </si>
  <si>
    <t>математика</t>
  </si>
  <si>
    <t>музыка</t>
  </si>
  <si>
    <t>физкультура</t>
  </si>
  <si>
    <t>вторая</t>
  </si>
  <si>
    <t>без категории</t>
  </si>
  <si>
    <t>история</t>
  </si>
  <si>
    <t>категория</t>
  </si>
  <si>
    <t>В2-2</t>
  </si>
  <si>
    <t>В2-3</t>
  </si>
  <si>
    <t>В2-4</t>
  </si>
  <si>
    <t>английский язык</t>
  </si>
  <si>
    <t>информатика</t>
  </si>
  <si>
    <t>НВП</t>
  </si>
  <si>
    <t xml:space="preserve">Заработная плата </t>
  </si>
  <si>
    <t>В4-4</t>
  </si>
  <si>
    <t>Доплаты за ОСО</t>
  </si>
  <si>
    <t>Доплаты за квалтест</t>
  </si>
  <si>
    <t>Доплаты полиязычие</t>
  </si>
  <si>
    <t>количество часов ОСО</t>
  </si>
  <si>
    <t>сумма доплаты ОСО</t>
  </si>
  <si>
    <t>%</t>
  </si>
  <si>
    <t>сумма доплаты квалтест</t>
  </si>
  <si>
    <t>Доплаты за обучение на дому</t>
  </si>
  <si>
    <t>количество часов инклюзив</t>
  </si>
  <si>
    <t>сумма доплаты инклюзив</t>
  </si>
  <si>
    <t>самопознание</t>
  </si>
  <si>
    <t>педагог-модератор</t>
  </si>
  <si>
    <t xml:space="preserve"> педагог-эксперт</t>
  </si>
  <si>
    <t>педагог-эксперт</t>
  </si>
  <si>
    <t>25% сельские</t>
  </si>
  <si>
    <t xml:space="preserve">Общее количество часов </t>
  </si>
  <si>
    <t>классное  руководство          50%               60%</t>
  </si>
  <si>
    <t>за степень магистра</t>
  </si>
  <si>
    <t xml:space="preserve">Главный экономист                                              </t>
  </si>
  <si>
    <t>СОГЛАСОВАНО</t>
  </si>
  <si>
    <t>№ п/п</t>
  </si>
  <si>
    <t>Показатели на начало учебного года</t>
  </si>
  <si>
    <t>0</t>
  </si>
  <si>
    <t>ВСЕГО</t>
  </si>
  <si>
    <t>Число классов на 1 сентября</t>
  </si>
  <si>
    <t>Число кл-комлектов на 1 сентября</t>
  </si>
  <si>
    <t>Число учащихся на 1 сентября</t>
  </si>
  <si>
    <t>Общее число препод. работы в неделю по тарификации в т.ч.</t>
  </si>
  <si>
    <t>оплачено из бюджета</t>
  </si>
  <si>
    <t>а)</t>
  </si>
  <si>
    <t>число часов по уч. плану</t>
  </si>
  <si>
    <t>б)</t>
  </si>
  <si>
    <t>число дополнительных часов</t>
  </si>
  <si>
    <t>казахский  язык</t>
  </si>
  <si>
    <t>казахская  литература</t>
  </si>
  <si>
    <t xml:space="preserve">Т А Р И Ф И К А Ц И О Н Н Ы Й     С П И С О К </t>
  </si>
  <si>
    <t>хореография</t>
  </si>
  <si>
    <t>учителей и других работников</t>
  </si>
  <si>
    <t>инфоматика</t>
  </si>
  <si>
    <t>иностранный  язык</t>
  </si>
  <si>
    <t>трудовое  обучнние</t>
  </si>
  <si>
    <t xml:space="preserve">Адрес школы:   </t>
  </si>
  <si>
    <t>русский яз и литература</t>
  </si>
  <si>
    <t>физическая культура</t>
  </si>
  <si>
    <t>основы экономических  знаний</t>
  </si>
  <si>
    <t>профиль</t>
  </si>
  <si>
    <t>прикл.курсы</t>
  </si>
  <si>
    <t>кол-во класс комплектов:</t>
  </si>
  <si>
    <t xml:space="preserve">обучение  на  дому  </t>
  </si>
  <si>
    <t>кол-во детей:</t>
  </si>
  <si>
    <t>спец.группа         самопознание</t>
  </si>
  <si>
    <t>основы  малого  бизнеса</t>
  </si>
  <si>
    <t>прочие, кружки</t>
  </si>
  <si>
    <t>спорт</t>
  </si>
  <si>
    <t>туризм</t>
  </si>
  <si>
    <t>Николайчук А.М.</t>
  </si>
  <si>
    <t>русс-яз и лит-ра</t>
  </si>
  <si>
    <t>Акжанова Г.Т.</t>
  </si>
  <si>
    <t>каз-яз и лит-ра</t>
  </si>
  <si>
    <t>Сулейменова  К.С.</t>
  </si>
  <si>
    <t>Басшыбаева М.С.</t>
  </si>
  <si>
    <t>Маусимбаева  Д.Д.</t>
  </si>
  <si>
    <t>рус-яз и лит-ра</t>
  </si>
  <si>
    <t>Сарыбаева  Г.Е.</t>
  </si>
  <si>
    <t>нач.классы</t>
  </si>
  <si>
    <t>Сейдахметова Г.Т.</t>
  </si>
  <si>
    <t>Сапаргалиева Г.Т.</t>
  </si>
  <si>
    <t>художественный труд</t>
  </si>
  <si>
    <t>Сынабеков  Д.А.</t>
  </si>
  <si>
    <t>Бекет  А.Б.</t>
  </si>
  <si>
    <t>биология химия</t>
  </si>
  <si>
    <t>физика</t>
  </si>
  <si>
    <t>вакансия Сейдахметова Г.Т.</t>
  </si>
  <si>
    <t>вакансия Маусимбаева  Д.Д.</t>
  </si>
  <si>
    <t>Ислямова А.И.</t>
  </si>
  <si>
    <t>ср.спец.</t>
  </si>
  <si>
    <t>Накишева  З.Ж.</t>
  </si>
  <si>
    <t>В4-2</t>
  </si>
  <si>
    <t>Костина Е.Н.</t>
  </si>
  <si>
    <t>количество часов</t>
  </si>
  <si>
    <t>Общее количество часов языки</t>
  </si>
  <si>
    <t>классное  руководство 1-4</t>
  </si>
  <si>
    <t>классное  руководство 5-11</t>
  </si>
  <si>
    <t>Сынабеков Д.А</t>
  </si>
  <si>
    <t>Руководитель     ГУ «Отдел образования по Аршалынскому району управления образования Акмолинской области»</t>
  </si>
  <si>
    <t>Рысхан Өзгерис</t>
  </si>
  <si>
    <t>до года</t>
  </si>
  <si>
    <t>Абдуалиева Л.К.</t>
  </si>
  <si>
    <t>Рысхан  Нүргүл</t>
  </si>
  <si>
    <t>В4-3</t>
  </si>
  <si>
    <t>Науанова Ә.А.</t>
  </si>
  <si>
    <t xml:space="preserve">география </t>
  </si>
  <si>
    <t>Ысрайыл Ә.Ә.</t>
  </si>
  <si>
    <t>Құсайын  А.М.</t>
  </si>
  <si>
    <t>_____________________________Кусайынов________А.А.</t>
  </si>
  <si>
    <t>1-9 классы</t>
  </si>
  <si>
    <t xml:space="preserve">  "СОГЛАСОВАНО"</t>
  </si>
  <si>
    <t>Утверждаю</t>
  </si>
  <si>
    <t>"УТВЕРЖДАЮ"</t>
  </si>
  <si>
    <t>штат в кол-ве</t>
  </si>
  <si>
    <t>Руководитель ГУ УО Акмолинской области</t>
  </si>
  <si>
    <t>Руководитель ГУ «Отдел образования по Аршалынскому району управления образования Акмолинской области»</t>
  </si>
  <si>
    <t xml:space="preserve">штат в кол-ве____ед </t>
  </si>
  <si>
    <t xml:space="preserve">с мес.ФЗП </t>
  </si>
  <si>
    <t xml:space="preserve"> </t>
  </si>
  <si>
    <t>Жусупов Б.А</t>
  </si>
  <si>
    <t>Кусайынов А.А.</t>
  </si>
  <si>
    <t>И.о директора:</t>
  </si>
  <si>
    <t>_______________________  тенге</t>
  </si>
  <si>
    <t>_______________ Сынабеков Д.А</t>
  </si>
  <si>
    <t>Директор</t>
  </si>
  <si>
    <t xml:space="preserve">       Штатное расписание</t>
  </si>
  <si>
    <t xml:space="preserve">                                                    КГУ   " Основная средняя школа станции Бабатай"</t>
  </si>
  <si>
    <t>кол-во кл.компл:  _12___</t>
  </si>
  <si>
    <t>БЛЖ</t>
  </si>
  <si>
    <t xml:space="preserve">№№ </t>
  </si>
  <si>
    <t>Тегі, аты, әкесінің аты</t>
  </si>
  <si>
    <t>Лауазым атауы</t>
  </si>
  <si>
    <t>білімі</t>
  </si>
  <si>
    <t>санаты</t>
  </si>
  <si>
    <t>мамандығы бойынша еңбек өтілі</t>
  </si>
  <si>
    <t>жалақы есептеу коэффициенті</t>
  </si>
  <si>
    <t>штаттық бірлік</t>
  </si>
  <si>
    <t>Қызметтік айлықақы</t>
  </si>
  <si>
    <t>Ауылдық жердегі жұмысы үшін арттыру</t>
  </si>
  <si>
    <t>25% қоса есептелгендегі еңбек ақы жиынтығы</t>
  </si>
  <si>
    <t>ҚОСЫМША АҚЫЛАР МЕН ҮСТЕМЕАҚЫЛАР</t>
  </si>
  <si>
    <t>Айлық еңбек ақы, барлығы</t>
  </si>
  <si>
    <t>Кәсіптік, біліктілік санаты, разряды</t>
  </si>
  <si>
    <t>санаты бойынша</t>
  </si>
  <si>
    <t>квалтес</t>
  </si>
  <si>
    <t>Оқулықтардың кiтапханалық қорымен жұмыс істегенi үшін</t>
  </si>
  <si>
    <t>20%хлор</t>
  </si>
  <si>
    <t>Сыныптық біліктілігі үшін</t>
  </si>
  <si>
    <t>Мереке кундері үшін</t>
  </si>
  <si>
    <t>түнгі жұмыс үшін</t>
  </si>
  <si>
    <t>Ерекше еңбек жағдайлары үшін үстемеақы 10%</t>
  </si>
  <si>
    <t>Қосымша төлемдердің жиынтық сомасы</t>
  </si>
  <si>
    <t>пайыз</t>
  </si>
  <si>
    <t>сомасы</t>
  </si>
  <si>
    <t>бірлік</t>
  </si>
  <si>
    <t>Сомасы</t>
  </si>
  <si>
    <t>кун саны</t>
  </si>
  <si>
    <t>төлеуге жататын сағат саны</t>
  </si>
  <si>
    <t>Сынабеков Данияр Амангельдинович</t>
  </si>
  <si>
    <t>мектеп директоры</t>
  </si>
  <si>
    <t>жоғары</t>
  </si>
  <si>
    <t>А1-3-1</t>
  </si>
  <si>
    <t>Сулейменова  Куралай  Султановна</t>
  </si>
  <si>
    <t>зам по УР</t>
  </si>
  <si>
    <t>А1-4</t>
  </si>
  <si>
    <t>Басшыбаева  Маржан  Самалбекқызы</t>
  </si>
  <si>
    <t>зам по ВР</t>
  </si>
  <si>
    <t>жоғарғы</t>
  </si>
  <si>
    <t>психолог</t>
  </si>
  <si>
    <t>Маусимбаева Д.Д.</t>
  </si>
  <si>
    <t>іс жүргізуші</t>
  </si>
  <si>
    <t>D</t>
  </si>
  <si>
    <t>завхоз</t>
  </si>
  <si>
    <t xml:space="preserve"> орта</t>
  </si>
  <si>
    <t>С3</t>
  </si>
  <si>
    <t>Маусымбаева С.А</t>
  </si>
  <si>
    <t>орта</t>
  </si>
  <si>
    <t>Сапаргалиев Р.Ж</t>
  </si>
  <si>
    <t>Акжанов К.М</t>
  </si>
  <si>
    <t>Накишева Н.Р.</t>
  </si>
  <si>
    <t>еден жуушы</t>
  </si>
  <si>
    <t>Сартаева  Г.Н.</t>
  </si>
  <si>
    <t>Воспитатель</t>
  </si>
  <si>
    <t>Бекмагамбетова Б.У.</t>
  </si>
  <si>
    <t>ср/спец</t>
  </si>
  <si>
    <t>Маусымбаева  Д.Д.</t>
  </si>
  <si>
    <t>рус.яз</t>
  </si>
  <si>
    <t>Шевченко В.В</t>
  </si>
  <si>
    <t>Помош воспит.</t>
  </si>
  <si>
    <t>среднее</t>
  </si>
  <si>
    <t>Дощанова  К.К.</t>
  </si>
  <si>
    <t>прачка</t>
  </si>
  <si>
    <t>Жиынтығы:</t>
  </si>
  <si>
    <t xml:space="preserve">Мектеп директорының м.а.:  </t>
  </si>
  <si>
    <t>Сынабеков Д.А.</t>
  </si>
  <si>
    <t>Бас экономист:</t>
  </si>
  <si>
    <t>Акылбаев Б.</t>
  </si>
  <si>
    <t xml:space="preserve">педагог-модератор   </t>
  </si>
  <si>
    <t>кочегар</t>
  </si>
  <si>
    <t>В3-4</t>
  </si>
  <si>
    <t>физруки</t>
  </si>
  <si>
    <t>смешанный</t>
  </si>
  <si>
    <t xml:space="preserve">                </t>
  </si>
  <si>
    <t>(язык обучения)</t>
  </si>
  <si>
    <t>№</t>
  </si>
  <si>
    <t>Ф.И.О.</t>
  </si>
  <si>
    <t>Предмет</t>
  </si>
  <si>
    <t>Классы</t>
  </si>
  <si>
    <t>1Б</t>
  </si>
  <si>
    <t>4Б</t>
  </si>
  <si>
    <t>1-4 кл</t>
  </si>
  <si>
    <t>9А</t>
  </si>
  <si>
    <t>5-6 Б</t>
  </si>
  <si>
    <t>7-8Б</t>
  </si>
  <si>
    <t>9Б</t>
  </si>
  <si>
    <t>5-9 кл</t>
  </si>
  <si>
    <t>10-11 кл</t>
  </si>
  <si>
    <t>итого</t>
  </si>
  <si>
    <t>кол-во уч-ся в классах</t>
  </si>
  <si>
    <t>НиколайчукА.М.</t>
  </si>
  <si>
    <t>русский язык</t>
  </si>
  <si>
    <t xml:space="preserve">Математика </t>
  </si>
  <si>
    <t xml:space="preserve">казахский язык </t>
  </si>
  <si>
    <t>начальные классы</t>
  </si>
  <si>
    <t>англ.язык</t>
  </si>
  <si>
    <t>Сарыбаева  Г.Е</t>
  </si>
  <si>
    <t>Бекет А.Б.</t>
  </si>
  <si>
    <t>химия</t>
  </si>
  <si>
    <t>биология</t>
  </si>
  <si>
    <t>Накишева  З.Ж</t>
  </si>
  <si>
    <t>Рысхан Нүргүл</t>
  </si>
  <si>
    <t>Итого:</t>
  </si>
  <si>
    <t>И.о. директора школы:</t>
  </si>
  <si>
    <t>Завуч школы:</t>
  </si>
  <si>
    <t>Сулейменова К.С.</t>
  </si>
  <si>
    <t>Мини центр</t>
  </si>
  <si>
    <t>ПШр</t>
  </si>
  <si>
    <t>Факультативы</t>
  </si>
  <si>
    <t>кружки</t>
  </si>
  <si>
    <t>Всего</t>
  </si>
  <si>
    <t>Итого</t>
  </si>
  <si>
    <t>ПШк</t>
  </si>
  <si>
    <t>1р</t>
  </si>
  <si>
    <t>4р</t>
  </si>
  <si>
    <t>9к</t>
  </si>
  <si>
    <t>5-6 р</t>
  </si>
  <si>
    <t>7-8р</t>
  </si>
  <si>
    <t>9р</t>
  </si>
  <si>
    <t>2р</t>
  </si>
  <si>
    <t>3-4р</t>
  </si>
  <si>
    <t>худ.труд</t>
  </si>
  <si>
    <t>русский язык и литер</t>
  </si>
  <si>
    <t>английский яз</t>
  </si>
  <si>
    <t>казахский язык и лит-ра</t>
  </si>
  <si>
    <t>Рысхан  Н</t>
  </si>
  <si>
    <t>вакансия</t>
  </si>
  <si>
    <t>география</t>
  </si>
  <si>
    <t xml:space="preserve">казахский язык и лит-ра </t>
  </si>
  <si>
    <t>И.о.директора   школы:</t>
  </si>
  <si>
    <t>Зав. РМО:                                     Мамбетов  Т.Ж.</t>
  </si>
  <si>
    <t xml:space="preserve">Ведомость распределения дополнительных часов </t>
  </si>
  <si>
    <t>Класс</t>
  </si>
  <si>
    <t>кол-во уч-ся</t>
  </si>
  <si>
    <t>предмет</t>
  </si>
  <si>
    <t>кол-во часов</t>
  </si>
  <si>
    <t>факультативы</t>
  </si>
  <si>
    <t>Итого (часов)</t>
  </si>
  <si>
    <t>1-4 класс</t>
  </si>
  <si>
    <t>Медиасауаттылық</t>
  </si>
  <si>
    <t>9 а</t>
  </si>
  <si>
    <t>Зайырлылық  және  дінтану  негіздері</t>
  </si>
  <si>
    <t>5-6 б</t>
  </si>
  <si>
    <t>Порядочность и этика, "Экология"</t>
  </si>
  <si>
    <t>7-8 б</t>
  </si>
  <si>
    <t>9 б</t>
  </si>
  <si>
    <t>Светскость и основы религоведения</t>
  </si>
  <si>
    <t>5-9 класс</t>
  </si>
  <si>
    <t>Всего по школе</t>
  </si>
  <si>
    <t xml:space="preserve">и.о директора школы :           </t>
  </si>
  <si>
    <t xml:space="preserve">   Сынабеков Д.А.</t>
  </si>
  <si>
    <t xml:space="preserve">Завуч школы </t>
  </si>
  <si>
    <t>1-3А</t>
  </si>
  <si>
    <t>2А</t>
  </si>
  <si>
    <t>4А</t>
  </si>
  <si>
    <t>2-3Б</t>
  </si>
  <si>
    <t>5-7А</t>
  </si>
  <si>
    <t>6-8 А</t>
  </si>
  <si>
    <t>Құсайын  А.М</t>
  </si>
  <si>
    <t>1-3 а</t>
  </si>
  <si>
    <t>4 а</t>
  </si>
  <si>
    <t>Қызықты  математика</t>
  </si>
  <si>
    <t>Логикалық  математика</t>
  </si>
  <si>
    <t>2 А</t>
  </si>
  <si>
    <t>5-7 а</t>
  </si>
  <si>
    <t>Әдептілік және этика. Экология</t>
  </si>
  <si>
    <t>6-8 а</t>
  </si>
  <si>
    <t>Медиаграммотность</t>
  </si>
  <si>
    <t>предшкола, нач.кл</t>
  </si>
  <si>
    <t>1-3к</t>
  </si>
  <si>
    <t>2к</t>
  </si>
  <si>
    <t>4к</t>
  </si>
  <si>
    <t>2-3р</t>
  </si>
  <si>
    <t>5-7к</t>
  </si>
  <si>
    <t>6-8к</t>
  </si>
  <si>
    <t>б/к</t>
  </si>
  <si>
    <t>эксперт</t>
  </si>
  <si>
    <t>1 год</t>
  </si>
  <si>
    <t>Ведомость проверки тетрадей Бабатайской ОШ на 01.01.2023 г.</t>
  </si>
  <si>
    <t>Ведомость распределения учебной нагрузки по Бабатайской ОШ на 2022-2023 уч.г.</t>
  </si>
  <si>
    <t>Бабатайская ОШ       на 01.01.2023 г.</t>
  </si>
  <si>
    <t>01.01.2023 г</t>
  </si>
  <si>
    <t>39л 4 м</t>
  </si>
  <si>
    <t>21г 4 м</t>
  </si>
  <si>
    <t>25л 4 м</t>
  </si>
  <si>
    <t>37л 2м</t>
  </si>
  <si>
    <t>37л 2 м</t>
  </si>
  <si>
    <t>13л 10 м</t>
  </si>
  <si>
    <t>48л 4 м</t>
  </si>
  <si>
    <t>33г 4 м</t>
  </si>
  <si>
    <t>33г 4м</t>
  </si>
  <si>
    <t>1г 4 м</t>
  </si>
  <si>
    <t>20л 1м</t>
  </si>
  <si>
    <t>23г  2м</t>
  </si>
  <si>
    <t>14 л 2 м</t>
  </si>
  <si>
    <t>3 г 4 м</t>
  </si>
  <si>
    <t xml:space="preserve">13 л </t>
  </si>
  <si>
    <t>4 мес</t>
  </si>
  <si>
    <t>15 л 4 м</t>
  </si>
  <si>
    <t>23 г   2 м</t>
  </si>
  <si>
    <t>48 л 4 м</t>
  </si>
  <si>
    <t>30 л 4 м</t>
  </si>
  <si>
    <t>39 л 4 м</t>
  </si>
  <si>
    <t>1 г 4 м</t>
  </si>
  <si>
    <t>4 г</t>
  </si>
  <si>
    <t xml:space="preserve">математика </t>
  </si>
  <si>
    <t xml:space="preserve">английский язык </t>
  </si>
  <si>
    <t>100 % увеличения ДО</t>
  </si>
  <si>
    <t>Новый Должностной оклад 100%</t>
  </si>
  <si>
    <t>3года4м</t>
  </si>
  <si>
    <t>25 лет4м</t>
  </si>
  <si>
    <t>13л 10мес</t>
  </si>
  <si>
    <t>ВАКАНСИЯ</t>
  </si>
  <si>
    <t>библиотекарь</t>
  </si>
  <si>
    <t>1г3 мес</t>
  </si>
  <si>
    <t>3 мес</t>
  </si>
  <si>
    <t>100,45% көтерме ақы</t>
  </si>
  <si>
    <t>"    "___________2023 год</t>
  </si>
  <si>
    <r>
      <t>"     " _____________</t>
    </r>
    <r>
      <rPr>
        <b/>
        <sz val="14"/>
        <rFont val="Times New Roman"/>
        <family val="1"/>
        <charset val="204"/>
      </rPr>
      <t>2023 г</t>
    </r>
  </si>
  <si>
    <t>"    " ____________  2023 г</t>
  </si>
  <si>
    <t>30 л4м</t>
  </si>
  <si>
    <t>20 л 1 мес</t>
  </si>
  <si>
    <t>6лет</t>
  </si>
  <si>
    <t>3г 8мес</t>
  </si>
  <si>
    <t>48 л 4м</t>
  </si>
  <si>
    <t>1 год4м</t>
  </si>
  <si>
    <t>3г11м</t>
  </si>
  <si>
    <t>01.01.2023г</t>
  </si>
  <si>
    <t>НА 01.01.2023 УЧЕБНЫЙ ГОД</t>
  </si>
  <si>
    <t>Бейсекеев Думан</t>
  </si>
  <si>
    <t>слесарь</t>
  </si>
  <si>
    <t>рабочий</t>
  </si>
  <si>
    <t>күзетші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</si>
</sst>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_-* #,##0_р_._-;\-* #,##0_р_._-;_-* &quot;-&quot;??_р_._-;_-@_-"/>
    <numFmt numFmtId="167" formatCode="_-* #,##0.0_р_._-;\-* #,##0.0_р_._-;_-* &quot;-&quot;??_р_._-;_-@_-"/>
  </numFmts>
  <fonts count="56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28"/>
      <name val="Arial Cyr"/>
      <family val="2"/>
      <charset val="204"/>
    </font>
    <font>
      <sz val="2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22.5"/>
      <name val="Times New Roman"/>
      <family val="1"/>
      <charset val="204"/>
    </font>
    <font>
      <b/>
      <sz val="22.5"/>
      <name val="Times New Roman"/>
      <family val="1"/>
      <charset val="204"/>
    </font>
    <font>
      <sz val="22.5"/>
      <color indexed="22"/>
      <name val="Times New Roman"/>
      <family val="1"/>
      <charset val="204"/>
    </font>
    <font>
      <sz val="22.5"/>
      <name val="Arial Cyr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24"/>
      <name val="Arial Cyr"/>
      <charset val="204"/>
    </font>
    <font>
      <sz val="9"/>
      <name val="Arial Cyr"/>
      <family val="2"/>
      <charset val="204"/>
    </font>
    <font>
      <sz val="2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sz val="12"/>
      <name val="Arial Cyr"/>
      <family val="3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Arial Cyr"/>
      <charset val="204"/>
    </font>
    <font>
      <b/>
      <sz val="12"/>
      <name val="Arial Cyr"/>
      <charset val="1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0" fontId="43" fillId="0" borderId="0"/>
    <xf numFmtId="164" fontId="1" fillId="0" borderId="0" applyFill="0" applyBorder="0" applyAlignment="0" applyProtection="0"/>
    <xf numFmtId="0" fontId="1" fillId="0" borderId="0"/>
    <xf numFmtId="0" fontId="1" fillId="0" borderId="0"/>
  </cellStyleXfs>
  <cellXfs count="589">
    <xf numFmtId="0" fontId="0" fillId="0" borderId="0" xfId="0"/>
    <xf numFmtId="0" fontId="18" fillId="0" borderId="0" xfId="0" applyFont="1" applyFill="1"/>
    <xf numFmtId="1" fontId="18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1" fontId="22" fillId="0" borderId="0" xfId="0" applyNumberFormat="1" applyFont="1" applyFill="1"/>
    <xf numFmtId="0" fontId="22" fillId="0" borderId="0" xfId="0" applyFont="1"/>
    <xf numFmtId="0" fontId="23" fillId="0" borderId="0" xfId="0" applyFont="1" applyFill="1"/>
    <xf numFmtId="1" fontId="23" fillId="0" borderId="0" xfId="0" applyNumberFormat="1" applyFont="1" applyFill="1"/>
    <xf numFmtId="0" fontId="23" fillId="0" borderId="0" xfId="0" applyFont="1" applyFill="1" applyBorder="1"/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1" fontId="23" fillId="0" borderId="0" xfId="0" applyNumberFormat="1" applyFont="1" applyFill="1" applyAlignment="1">
      <alignment horizontal="left"/>
    </xf>
    <xf numFmtId="0" fontId="24" fillId="0" borderId="0" xfId="0" applyFont="1" applyFill="1"/>
    <xf numFmtId="1" fontId="24" fillId="0" borderId="0" xfId="0" applyNumberFormat="1" applyFont="1" applyFill="1"/>
    <xf numFmtId="0" fontId="24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5" fillId="0" borderId="0" xfId="0" applyFont="1" applyFill="1" applyAlignment="1"/>
    <xf numFmtId="0" fontId="18" fillId="0" borderId="0" xfId="0" applyFont="1" applyFill="1" applyAlignment="1"/>
    <xf numFmtId="1" fontId="25" fillId="0" borderId="0" xfId="0" applyNumberFormat="1" applyFont="1" applyFill="1" applyAlignment="1"/>
    <xf numFmtId="0" fontId="23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3" fillId="15" borderId="10" xfId="0" applyFont="1" applyFill="1" applyBorder="1" applyAlignment="1">
      <alignment vertical="center"/>
    </xf>
    <xf numFmtId="0" fontId="21" fillId="15" borderId="0" xfId="0" applyFont="1" applyFill="1" applyAlignment="1">
      <alignment vertical="center"/>
    </xf>
    <xf numFmtId="10" fontId="25" fillId="0" borderId="0" xfId="0" applyNumberFormat="1" applyFont="1" applyFill="1" applyAlignment="1"/>
    <xf numFmtId="0" fontId="23" fillId="16" borderId="10" xfId="0" applyFont="1" applyFill="1" applyBorder="1" applyAlignment="1">
      <alignment vertical="center"/>
    </xf>
    <xf numFmtId="0" fontId="18" fillId="16" borderId="0" xfId="0" applyFont="1" applyFill="1"/>
    <xf numFmtId="0" fontId="23" fillId="16" borderId="0" xfId="0" applyFont="1" applyFill="1"/>
    <xf numFmtId="0" fontId="23" fillId="16" borderId="0" xfId="0" applyFont="1" applyFill="1" applyAlignment="1">
      <alignment horizontal="left"/>
    </xf>
    <xf numFmtId="0" fontId="25" fillId="16" borderId="0" xfId="0" applyFont="1" applyFill="1" applyAlignment="1"/>
    <xf numFmtId="0" fontId="24" fillId="16" borderId="0" xfId="0" applyFont="1" applyFill="1"/>
    <xf numFmtId="0" fontId="22" fillId="16" borderId="0" xfId="0" applyFont="1" applyFill="1"/>
    <xf numFmtId="0" fontId="21" fillId="16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8" fillId="16" borderId="10" xfId="0" applyFont="1" applyFill="1" applyBorder="1" applyAlignment="1">
      <alignment vertical="center" wrapText="1"/>
    </xf>
    <xf numFmtId="0" fontId="28" fillId="16" borderId="10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8" fillId="15" borderId="10" xfId="0" applyFont="1" applyFill="1" applyBorder="1" applyAlignment="1">
      <alignment vertical="center"/>
    </xf>
    <xf numFmtId="0" fontId="28" fillId="16" borderId="10" xfId="0" applyFont="1" applyFill="1" applyBorder="1" applyAlignment="1">
      <alignment vertical="center"/>
    </xf>
    <xf numFmtId="166" fontId="28" fillId="0" borderId="10" xfId="23" applyNumberFormat="1" applyFont="1" applyFill="1" applyBorder="1" applyAlignment="1">
      <alignment vertical="center"/>
    </xf>
    <xf numFmtId="166" fontId="28" fillId="0" borderId="10" xfId="23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vertical="center"/>
    </xf>
    <xf numFmtId="166" fontId="27" fillId="0" borderId="10" xfId="23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right" vertical="center"/>
    </xf>
    <xf numFmtId="49" fontId="28" fillId="16" borderId="10" xfId="0" applyNumberFormat="1" applyFont="1" applyFill="1" applyBorder="1" applyAlignment="1">
      <alignment horizontal="right" vertical="center"/>
    </xf>
    <xf numFmtId="166" fontId="28" fillId="16" borderId="10" xfId="23" applyNumberFormat="1" applyFont="1" applyFill="1" applyBorder="1" applyAlignment="1">
      <alignment vertical="center"/>
    </xf>
    <xf numFmtId="1" fontId="28" fillId="16" borderId="10" xfId="0" applyNumberFormat="1" applyFont="1" applyFill="1" applyBorder="1" applyAlignment="1">
      <alignment vertical="center"/>
    </xf>
    <xf numFmtId="0" fontId="28" fillId="16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center"/>
    </xf>
    <xf numFmtId="0" fontId="25" fillId="16" borderId="10" xfId="0" applyFont="1" applyFill="1" applyBorder="1" applyAlignment="1">
      <alignment horizontal="center" vertical="center" wrapText="1"/>
    </xf>
    <xf numFmtId="166" fontId="28" fillId="15" borderId="10" xfId="23" applyNumberFormat="1" applyFont="1" applyFill="1" applyBorder="1" applyAlignment="1">
      <alignment vertical="center" wrapText="1"/>
    </xf>
    <xf numFmtId="166" fontId="28" fillId="16" borderId="10" xfId="23" applyNumberFormat="1" applyFont="1" applyFill="1" applyBorder="1" applyAlignment="1">
      <alignment vertical="center" wrapText="1"/>
    </xf>
    <xf numFmtId="0" fontId="25" fillId="17" borderId="10" xfId="0" applyFont="1" applyFill="1" applyBorder="1" applyAlignment="1">
      <alignment horizontal="center" vertical="center" wrapText="1"/>
    </xf>
    <xf numFmtId="9" fontId="25" fillId="17" borderId="11" xfId="0" applyNumberFormat="1" applyFont="1" applyFill="1" applyBorder="1" applyAlignment="1">
      <alignment horizontal="center" vertical="center" textRotation="90" wrapText="1"/>
    </xf>
    <xf numFmtId="0" fontId="27" fillId="16" borderId="10" xfId="0" applyFont="1" applyFill="1" applyBorder="1" applyAlignment="1">
      <alignment horizontal="center" vertical="center" textRotation="90"/>
    </xf>
    <xf numFmtId="0" fontId="27" fillId="17" borderId="10" xfId="0" applyFont="1" applyFill="1" applyBorder="1" applyAlignment="1">
      <alignment horizontal="center" vertical="center" wrapText="1"/>
    </xf>
    <xf numFmtId="0" fontId="23" fillId="16" borderId="12" xfId="0" applyFont="1" applyFill="1" applyBorder="1" applyAlignment="1">
      <alignment vertical="center"/>
    </xf>
    <xf numFmtId="1" fontId="28" fillId="0" borderId="10" xfId="0" applyNumberFormat="1" applyFont="1" applyFill="1" applyBorder="1" applyAlignment="1">
      <alignment vertical="center" wrapText="1"/>
    </xf>
    <xf numFmtId="166" fontId="28" fillId="0" borderId="10" xfId="23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/>
    </xf>
    <xf numFmtId="9" fontId="25" fillId="16" borderId="11" xfId="0" applyNumberFormat="1" applyFont="1" applyFill="1" applyBorder="1" applyAlignment="1">
      <alignment horizontal="center" vertical="center" textRotation="90"/>
    </xf>
    <xf numFmtId="9" fontId="27" fillId="17" borderId="10" xfId="0" applyNumberFormat="1" applyFont="1" applyFill="1" applyBorder="1" applyAlignment="1">
      <alignment horizontal="center" vertical="center" textRotation="90"/>
    </xf>
    <xf numFmtId="166" fontId="25" fillId="0" borderId="0" xfId="0" applyNumberFormat="1" applyFont="1" applyFill="1" applyAlignment="1"/>
    <xf numFmtId="0" fontId="29" fillId="0" borderId="0" xfId="0" applyFont="1" applyProtection="1">
      <protection locked="0"/>
    </xf>
    <xf numFmtId="1" fontId="30" fillId="0" borderId="0" xfId="0" applyNumberFormat="1" applyFont="1" applyAlignment="1" applyProtection="1">
      <alignment horizontal="center"/>
      <protection locked="0"/>
    </xf>
    <xf numFmtId="0" fontId="31" fillId="0" borderId="0" xfId="0" applyFont="1" applyProtection="1"/>
    <xf numFmtId="0" fontId="32" fillId="0" borderId="0" xfId="0" applyFont="1" applyProtection="1">
      <protection locked="0"/>
    </xf>
    <xf numFmtId="1" fontId="32" fillId="0" borderId="0" xfId="0" applyNumberFormat="1" applyFont="1" applyProtection="1">
      <protection locked="0"/>
    </xf>
    <xf numFmtId="0" fontId="29" fillId="19" borderId="0" xfId="0" applyFont="1" applyFill="1" applyProtection="1">
      <protection locked="0"/>
    </xf>
    <xf numFmtId="0" fontId="29" fillId="20" borderId="0" xfId="0" applyFont="1" applyFill="1" applyProtection="1">
      <protection locked="0"/>
    </xf>
    <xf numFmtId="0" fontId="29" fillId="21" borderId="0" xfId="0" applyFont="1" applyFill="1" applyProtection="1">
      <protection locked="0"/>
    </xf>
    <xf numFmtId="1" fontId="29" fillId="21" borderId="0" xfId="0" applyNumberFormat="1" applyFont="1" applyFill="1" applyProtection="1">
      <protection locked="0"/>
    </xf>
    <xf numFmtId="1" fontId="29" fillId="0" borderId="0" xfId="0" applyNumberFormat="1" applyFont="1" applyProtection="1">
      <protection locked="0"/>
    </xf>
    <xf numFmtId="1" fontId="29" fillId="20" borderId="0" xfId="0" applyNumberFormat="1" applyFont="1" applyFill="1" applyProtection="1">
      <protection locked="0"/>
    </xf>
    <xf numFmtId="1" fontId="29" fillId="0" borderId="0" xfId="0" applyNumberFormat="1" applyFont="1" applyFill="1" applyProtection="1">
      <protection locked="0"/>
    </xf>
    <xf numFmtId="0" fontId="33" fillId="0" borderId="0" xfId="0" applyFont="1" applyAlignment="1" applyProtection="1">
      <protection locked="0"/>
    </xf>
    <xf numFmtId="0" fontId="34" fillId="0" borderId="0" xfId="0" applyFont="1" applyProtection="1">
      <protection locked="0"/>
    </xf>
    <xf numFmtId="0" fontId="34" fillId="16" borderId="0" xfId="0" applyFont="1" applyFill="1" applyProtection="1">
      <protection locked="0"/>
    </xf>
    <xf numFmtId="1" fontId="33" fillId="0" borderId="0" xfId="0" applyNumberFormat="1" applyFont="1" applyFill="1" applyAlignment="1" applyProtection="1">
      <alignment horizontal="center"/>
      <protection locked="0"/>
    </xf>
    <xf numFmtId="1" fontId="34" fillId="16" borderId="0" xfId="0" applyNumberFormat="1" applyFont="1" applyFill="1" applyProtection="1">
      <protection locked="0"/>
    </xf>
    <xf numFmtId="1" fontId="30" fillId="16" borderId="16" xfId="0" applyNumberFormat="1" applyFont="1" applyFill="1" applyBorder="1" applyProtection="1">
      <protection locked="0"/>
    </xf>
    <xf numFmtId="1" fontId="30" fillId="16" borderId="17" xfId="0" applyNumberFormat="1" applyFont="1" applyFill="1" applyBorder="1" applyProtection="1">
      <protection locked="0"/>
    </xf>
    <xf numFmtId="49" fontId="30" fillId="16" borderId="18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Border="1" applyAlignment="1" applyProtection="1">
      <alignment horizontal="center"/>
      <protection locked="0"/>
    </xf>
    <xf numFmtId="49" fontId="30" fillId="0" borderId="18" xfId="0" applyNumberFormat="1" applyFont="1" applyBorder="1" applyAlignment="1" applyProtection="1">
      <alignment horizontal="center"/>
      <protection locked="0"/>
    </xf>
    <xf numFmtId="0" fontId="30" fillId="0" borderId="19" xfId="0" applyFont="1" applyBorder="1" applyAlignment="1" applyProtection="1">
      <alignment horizontal="center"/>
      <protection locked="0"/>
    </xf>
    <xf numFmtId="1" fontId="29" fillId="16" borderId="10" xfId="0" applyNumberFormat="1" applyFont="1" applyFill="1" applyBorder="1" applyAlignment="1" applyProtection="1">
      <alignment horizontal="center"/>
      <protection locked="0"/>
    </xf>
    <xf numFmtId="0" fontId="29" fillId="16" borderId="22" xfId="0" applyFont="1" applyFill="1" applyBorder="1" applyAlignment="1" applyProtection="1">
      <alignment horizontal="center"/>
      <protection locked="0"/>
    </xf>
    <xf numFmtId="1" fontId="29" fillId="0" borderId="22" xfId="0" applyNumberFormat="1" applyFont="1" applyBorder="1" applyAlignment="1" applyProtection="1">
      <alignment horizontal="center"/>
      <protection locked="0"/>
    </xf>
    <xf numFmtId="0" fontId="29" fillId="0" borderId="22" xfId="0" applyFont="1" applyBorder="1" applyAlignment="1" applyProtection="1">
      <alignment horizontal="center"/>
      <protection locked="0"/>
    </xf>
    <xf numFmtId="1" fontId="30" fillId="0" borderId="23" xfId="0" applyNumberFormat="1" applyFont="1" applyBorder="1" applyAlignment="1" applyProtection="1">
      <alignment horizontal="center"/>
    </xf>
    <xf numFmtId="0" fontId="33" fillId="0" borderId="0" xfId="0" applyFont="1" applyProtection="1">
      <protection locked="0"/>
    </xf>
    <xf numFmtId="0" fontId="29" fillId="16" borderId="25" xfId="0" applyFont="1" applyFill="1" applyBorder="1" applyAlignment="1" applyProtection="1">
      <alignment horizontal="center"/>
      <protection locked="0"/>
    </xf>
    <xf numFmtId="1" fontId="29" fillId="0" borderId="25" xfId="0" applyNumberFormat="1" applyFont="1" applyBorder="1" applyAlignment="1" applyProtection="1">
      <alignment horizontal="center"/>
      <protection locked="0"/>
    </xf>
    <xf numFmtId="0" fontId="29" fillId="0" borderId="25" xfId="0" applyFont="1" applyBorder="1" applyAlignment="1" applyProtection="1">
      <alignment horizontal="center"/>
      <protection locked="0"/>
    </xf>
    <xf numFmtId="0" fontId="30" fillId="0" borderId="26" xfId="0" applyFont="1" applyBorder="1" applyAlignment="1" applyProtection="1">
      <alignment horizontal="center"/>
      <protection locked="0"/>
    </xf>
    <xf numFmtId="0" fontId="35" fillId="16" borderId="0" xfId="0" applyFont="1" applyFill="1" applyAlignment="1" applyProtection="1">
      <alignment horizontal="left" wrapText="1"/>
      <protection locked="0"/>
    </xf>
    <xf numFmtId="0" fontId="29" fillId="16" borderId="27" xfId="0" applyFont="1" applyFill="1" applyBorder="1" applyAlignment="1" applyProtection="1">
      <alignment horizontal="center"/>
      <protection locked="0"/>
    </xf>
    <xf numFmtId="1" fontId="29" fillId="0" borderId="27" xfId="0" applyNumberFormat="1" applyFont="1" applyBorder="1" applyAlignment="1" applyProtection="1">
      <alignment horizontal="center"/>
      <protection locked="0"/>
    </xf>
    <xf numFmtId="0" fontId="29" fillId="0" borderId="27" xfId="0" applyFont="1" applyBorder="1" applyAlignment="1" applyProtection="1">
      <alignment horizontal="center"/>
      <protection locked="0"/>
    </xf>
    <xf numFmtId="1" fontId="30" fillId="0" borderId="26" xfId="0" applyNumberFormat="1" applyFont="1" applyBorder="1" applyAlignment="1" applyProtection="1">
      <alignment horizontal="center"/>
    </xf>
    <xf numFmtId="0" fontId="33" fillId="16" borderId="0" xfId="0" applyFont="1" applyFill="1" applyProtection="1">
      <protection locked="0"/>
    </xf>
    <xf numFmtId="1" fontId="29" fillId="16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/>
      <protection locked="0"/>
    </xf>
    <xf numFmtId="1" fontId="33" fillId="16" borderId="0" xfId="0" applyNumberFormat="1" applyFont="1" applyFill="1" applyBorder="1" applyProtection="1">
      <protection locked="0"/>
    </xf>
    <xf numFmtId="1" fontId="33" fillId="16" borderId="0" xfId="0" applyNumberFormat="1" applyFont="1" applyFill="1" applyProtection="1">
      <protection locked="0"/>
    </xf>
    <xf numFmtId="1" fontId="34" fillId="16" borderId="0" xfId="0" applyNumberFormat="1" applyFont="1" applyFill="1" applyBorder="1" applyProtection="1">
      <protection locked="0"/>
    </xf>
    <xf numFmtId="1" fontId="29" fillId="16" borderId="10" xfId="0" applyNumberFormat="1" applyFont="1" applyFill="1" applyBorder="1" applyProtection="1">
      <protection locked="0"/>
    </xf>
    <xf numFmtId="165" fontId="29" fillId="0" borderId="22" xfId="0" applyNumberFormat="1" applyFont="1" applyBorder="1" applyAlignment="1" applyProtection="1">
      <alignment horizontal="center"/>
      <protection locked="0"/>
    </xf>
    <xf numFmtId="165" fontId="30" fillId="0" borderId="26" xfId="0" applyNumberFormat="1" applyFont="1" applyBorder="1" applyAlignment="1" applyProtection="1">
      <alignment horizontal="center"/>
    </xf>
    <xf numFmtId="1" fontId="34" fillId="0" borderId="0" xfId="0" applyNumberFormat="1" applyFont="1" applyProtection="1">
      <protection locked="0"/>
    </xf>
    <xf numFmtId="1" fontId="33" fillId="16" borderId="0" xfId="0" applyNumberFormat="1" applyFont="1" applyFill="1" applyBorder="1" applyAlignment="1" applyProtection="1">
      <alignment horizontal="center" vertical="center"/>
      <protection locked="0"/>
    </xf>
    <xf numFmtId="165" fontId="30" fillId="0" borderId="26" xfId="0" applyNumberFormat="1" applyFont="1" applyBorder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0" fontId="34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" fontId="36" fillId="0" borderId="0" xfId="0" applyNumberFormat="1" applyFont="1" applyFill="1" applyProtection="1">
      <protection locked="0"/>
    </xf>
    <xf numFmtId="1" fontId="34" fillId="0" borderId="0" xfId="0" applyNumberFormat="1" applyFont="1" applyFill="1" applyProtection="1">
      <protection locked="0"/>
    </xf>
    <xf numFmtId="1" fontId="29" fillId="0" borderId="10" xfId="0" applyNumberFormat="1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 locked="0"/>
    </xf>
    <xf numFmtId="0" fontId="29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1" fontId="32" fillId="0" borderId="0" xfId="0" applyNumberFormat="1" applyFont="1" applyFill="1" applyProtection="1">
      <protection locked="0"/>
    </xf>
    <xf numFmtId="1" fontId="29" fillId="0" borderId="10" xfId="0" applyNumberFormat="1" applyFont="1" applyFill="1" applyBorder="1" applyProtection="1">
      <protection locked="0"/>
    </xf>
    <xf numFmtId="0" fontId="30" fillId="0" borderId="25" xfId="0" applyFont="1" applyFill="1" applyBorder="1" applyAlignment="1" applyProtection="1">
      <alignment horizontal="center"/>
      <protection locked="0"/>
    </xf>
    <xf numFmtId="1" fontId="30" fillId="0" borderId="25" xfId="0" applyNumberFormat="1" applyFont="1" applyBorder="1" applyAlignment="1" applyProtection="1">
      <alignment horizontal="center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29" fillId="0" borderId="0" xfId="0" applyFont="1" applyAlignment="1" applyProtection="1">
      <protection locked="0"/>
    </xf>
    <xf numFmtId="0" fontId="29" fillId="0" borderId="25" xfId="0" applyFont="1" applyFill="1" applyBorder="1" applyProtection="1">
      <protection locked="0"/>
    </xf>
    <xf numFmtId="1" fontId="29" fillId="0" borderId="25" xfId="0" applyNumberFormat="1" applyFont="1" applyBorder="1" applyProtection="1">
      <protection locked="0"/>
    </xf>
    <xf numFmtId="0" fontId="29" fillId="0" borderId="25" xfId="0" applyFont="1" applyBorder="1" applyProtection="1">
      <protection locked="0"/>
    </xf>
    <xf numFmtId="165" fontId="29" fillId="0" borderId="26" xfId="0" applyNumberFormat="1" applyFont="1" applyBorder="1" applyProtection="1">
      <protection locked="0"/>
    </xf>
    <xf numFmtId="0" fontId="30" fillId="0" borderId="0" xfId="0" applyFont="1" applyFill="1" applyProtection="1">
      <protection locked="0"/>
    </xf>
    <xf numFmtId="1" fontId="30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protection locked="0"/>
    </xf>
    <xf numFmtId="1" fontId="30" fillId="0" borderId="0" xfId="0" applyNumberFormat="1" applyFont="1" applyFill="1" applyAlignment="1" applyProtection="1">
      <protection locked="0"/>
    </xf>
    <xf numFmtId="0" fontId="30" fillId="0" borderId="0" xfId="0" applyFont="1" applyFill="1" applyAlignment="1" applyProtection="1">
      <alignment horizontal="left" vertical="center"/>
      <protection locked="0"/>
    </xf>
    <xf numFmtId="1" fontId="29" fillId="0" borderId="21" xfId="0" applyNumberFormat="1" applyFont="1" applyFill="1" applyBorder="1" applyAlignment="1" applyProtection="1">
      <alignment horizontal="center"/>
      <protection locked="0"/>
    </xf>
    <xf numFmtId="1" fontId="29" fillId="0" borderId="24" xfId="0" applyNumberFormat="1" applyFont="1" applyFill="1" applyBorder="1" applyAlignment="1" applyProtection="1">
      <alignment horizontal="center"/>
      <protection locked="0"/>
    </xf>
    <xf numFmtId="1" fontId="30" fillId="0" borderId="0" xfId="0" applyNumberFormat="1" applyFont="1" applyFill="1" applyProtection="1">
      <protection locked="0"/>
    </xf>
    <xf numFmtId="165" fontId="29" fillId="0" borderId="25" xfId="0" applyNumberFormat="1" applyFont="1" applyBorder="1" applyProtection="1">
      <protection locked="0"/>
    </xf>
    <xf numFmtId="0" fontId="30" fillId="0" borderId="0" xfId="0" applyFont="1" applyProtection="1">
      <protection locked="0"/>
    </xf>
    <xf numFmtId="0" fontId="29" fillId="0" borderId="24" xfId="0" applyFont="1" applyFill="1" applyBorder="1" applyAlignment="1" applyProtection="1">
      <alignment horizontal="center"/>
      <protection locked="0"/>
    </xf>
    <xf numFmtId="0" fontId="29" fillId="0" borderId="26" xfId="0" applyFont="1" applyBorder="1" applyProtection="1"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1" fontId="37" fillId="0" borderId="24" xfId="0" applyNumberFormat="1" applyFont="1" applyBorder="1" applyAlignment="1" applyProtection="1">
      <alignment horizontal="center"/>
      <protection locked="0"/>
    </xf>
    <xf numFmtId="0" fontId="37" fillId="0" borderId="25" xfId="0" applyFont="1" applyBorder="1" applyProtection="1">
      <protection locked="0"/>
    </xf>
    <xf numFmtId="1" fontId="37" fillId="0" borderId="25" xfId="0" applyNumberFormat="1" applyFont="1" applyBorder="1" applyProtection="1">
      <protection locked="0"/>
    </xf>
    <xf numFmtId="165" fontId="37" fillId="0" borderId="26" xfId="0" applyNumberFormat="1" applyFont="1" applyBorder="1" applyProtection="1">
      <protection locked="0"/>
    </xf>
    <xf numFmtId="1" fontId="29" fillId="0" borderId="30" xfId="0" applyNumberFormat="1" applyFont="1" applyFill="1" applyBorder="1" applyAlignment="1" applyProtection="1">
      <alignment horizontal="center"/>
      <protection locked="0"/>
    </xf>
    <xf numFmtId="0" fontId="29" fillId="0" borderId="27" xfId="0" applyFont="1" applyFill="1" applyBorder="1" applyProtection="1">
      <protection locked="0"/>
    </xf>
    <xf numFmtId="1" fontId="29" fillId="0" borderId="27" xfId="0" applyNumberFormat="1" applyFont="1" applyBorder="1" applyProtection="1">
      <protection locked="0"/>
    </xf>
    <xf numFmtId="0" fontId="29" fillId="0" borderId="27" xfId="0" applyFont="1" applyBorder="1" applyProtection="1">
      <protection locked="0"/>
    </xf>
    <xf numFmtId="165" fontId="29" fillId="0" borderId="28" xfId="0" applyNumberFormat="1" applyFont="1" applyBorder="1" applyProtection="1">
      <protection locked="0"/>
    </xf>
    <xf numFmtId="0" fontId="29" fillId="0" borderId="10" xfId="0" applyFont="1" applyFill="1" applyBorder="1" applyProtection="1">
      <protection locked="0"/>
    </xf>
    <xf numFmtId="0" fontId="29" fillId="0" borderId="10" xfId="0" applyFont="1" applyBorder="1" applyProtection="1">
      <protection locked="0"/>
    </xf>
    <xf numFmtId="1" fontId="29" fillId="0" borderId="13" xfId="0" applyNumberFormat="1" applyFont="1" applyBorder="1" applyProtection="1">
      <protection locked="0"/>
    </xf>
    <xf numFmtId="0" fontId="29" fillId="0" borderId="31" xfId="0" applyFont="1" applyBorder="1" applyProtection="1">
      <protection locked="0"/>
    </xf>
    <xf numFmtId="0" fontId="39" fillId="16" borderId="10" xfId="0" applyNumberFormat="1" applyFont="1" applyFill="1" applyBorder="1" applyAlignment="1" applyProtection="1">
      <alignment wrapText="1"/>
    </xf>
    <xf numFmtId="0" fontId="40" fillId="16" borderId="10" xfId="0" applyFont="1" applyFill="1" applyBorder="1"/>
    <xf numFmtId="0" fontId="41" fillId="16" borderId="10" xfId="0" applyFont="1" applyFill="1" applyBorder="1" applyAlignment="1" applyProtection="1">
      <alignment wrapText="1"/>
    </xf>
    <xf numFmtId="0" fontId="41" fillId="16" borderId="10" xfId="0" applyFont="1" applyFill="1" applyBorder="1" applyProtection="1"/>
    <xf numFmtId="0" fontId="42" fillId="16" borderId="10" xfId="0" applyFont="1" applyFill="1" applyBorder="1" applyAlignment="1" applyProtection="1">
      <alignment horizontal="left" wrapText="1"/>
    </xf>
    <xf numFmtId="0" fontId="39" fillId="16" borderId="10" xfId="0" applyNumberFormat="1" applyFont="1" applyFill="1" applyBorder="1" applyAlignment="1" applyProtection="1">
      <alignment vertical="center" wrapText="1"/>
    </xf>
    <xf numFmtId="0" fontId="39" fillId="16" borderId="12" xfId="0" applyNumberFormat="1" applyFont="1" applyFill="1" applyBorder="1" applyAlignment="1" applyProtection="1">
      <alignment vertical="center" wrapText="1"/>
    </xf>
    <xf numFmtId="0" fontId="39" fillId="16" borderId="13" xfId="0" applyNumberFormat="1" applyFont="1" applyFill="1" applyBorder="1" applyAlignment="1" applyProtection="1">
      <alignment wrapText="1"/>
    </xf>
    <xf numFmtId="0" fontId="40" fillId="16" borderId="10" xfId="0" applyFont="1" applyFill="1" applyBorder="1" applyAlignment="1">
      <alignment horizontal="center"/>
    </xf>
    <xf numFmtId="0" fontId="42" fillId="16" borderId="10" xfId="0" applyFont="1" applyFill="1" applyBorder="1" applyAlignment="1" applyProtection="1">
      <alignment horizontal="center" wrapText="1"/>
    </xf>
    <xf numFmtId="0" fontId="28" fillId="16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42" fillId="16" borderId="10" xfId="0" applyNumberFormat="1" applyFont="1" applyFill="1" applyBorder="1" applyAlignment="1" applyProtection="1">
      <alignment wrapText="1"/>
    </xf>
    <xf numFmtId="0" fontId="40" fillId="16" borderId="10" xfId="0" applyFont="1" applyFill="1" applyBorder="1" applyAlignment="1">
      <alignment vertical="center"/>
    </xf>
    <xf numFmtId="2" fontId="42" fillId="16" borderId="10" xfId="0" applyNumberFormat="1" applyFont="1" applyFill="1" applyBorder="1" applyAlignment="1" applyProtection="1">
      <alignment wrapText="1"/>
    </xf>
    <xf numFmtId="0" fontId="42" fillId="16" borderId="10" xfId="0" applyFont="1" applyFill="1" applyBorder="1" applyAlignment="1" applyProtection="1">
      <alignment wrapText="1"/>
    </xf>
    <xf numFmtId="166" fontId="27" fillId="0" borderId="10" xfId="0" applyNumberFormat="1" applyFont="1" applyFill="1" applyBorder="1" applyAlignment="1">
      <alignment vertical="center"/>
    </xf>
    <xf numFmtId="0" fontId="25" fillId="17" borderId="11" xfId="0" applyFont="1" applyFill="1" applyBorder="1" applyAlignment="1">
      <alignment horizontal="center" vertical="center" wrapText="1"/>
    </xf>
    <xf numFmtId="9" fontId="27" fillId="17" borderId="13" xfId="0" applyNumberFormat="1" applyFont="1" applyFill="1" applyBorder="1" applyAlignment="1">
      <alignment horizontal="center" vertical="center" textRotation="90"/>
    </xf>
    <xf numFmtId="167" fontId="28" fillId="16" borderId="10" xfId="23" applyNumberFormat="1" applyFont="1" applyFill="1" applyBorder="1" applyAlignment="1">
      <alignment vertical="center" wrapText="1"/>
    </xf>
    <xf numFmtId="167" fontId="27" fillId="0" borderId="10" xfId="0" applyNumberFormat="1" applyFont="1" applyFill="1" applyBorder="1" applyAlignment="1">
      <alignment vertical="center"/>
    </xf>
    <xf numFmtId="165" fontId="28" fillId="0" borderId="10" xfId="0" applyNumberFormat="1" applyFont="1" applyFill="1" applyBorder="1" applyAlignment="1">
      <alignment vertical="center"/>
    </xf>
    <xf numFmtId="0" fontId="27" fillId="16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/>
    <xf numFmtId="0" fontId="18" fillId="0" borderId="10" xfId="0" applyFont="1" applyFill="1" applyBorder="1" applyAlignment="1">
      <alignment horizontal="left"/>
    </xf>
    <xf numFmtId="0" fontId="39" fillId="16" borderId="12" xfId="0" applyNumberFormat="1" applyFont="1" applyFill="1" applyBorder="1" applyAlignment="1" applyProtection="1">
      <alignment horizontal="left" vertical="center" wrapText="1"/>
    </xf>
    <xf numFmtId="0" fontId="28" fillId="16" borderId="10" xfId="0" applyFont="1" applyFill="1" applyBorder="1" applyAlignment="1">
      <alignment horizontal="left"/>
    </xf>
    <xf numFmtId="0" fontId="23" fillId="16" borderId="12" xfId="0" applyFont="1" applyFill="1" applyBorder="1" applyAlignment="1">
      <alignment horizontal="right" vertical="center"/>
    </xf>
    <xf numFmtId="0" fontId="26" fillId="0" borderId="0" xfId="25" applyFont="1"/>
    <xf numFmtId="0" fontId="25" fillId="16" borderId="0" xfId="25" applyFont="1" applyFill="1"/>
    <xf numFmtId="0" fontId="25" fillId="0" borderId="0" xfId="25" applyFont="1"/>
    <xf numFmtId="165" fontId="25" fillId="16" borderId="0" xfId="25" applyNumberFormat="1" applyFont="1" applyFill="1"/>
    <xf numFmtId="4" fontId="25" fillId="0" borderId="0" xfId="25" applyNumberFormat="1" applyFont="1"/>
    <xf numFmtId="0" fontId="44" fillId="0" borderId="0" xfId="25" applyFont="1"/>
    <xf numFmtId="0" fontId="45" fillId="0" borderId="0" xfId="25" applyFont="1"/>
    <xf numFmtId="0" fontId="25" fillId="0" borderId="0" xfId="25" applyFont="1" applyAlignment="1">
      <alignment wrapText="1"/>
    </xf>
    <xf numFmtId="4" fontId="25" fillId="0" borderId="0" xfId="25" applyNumberFormat="1" applyFont="1" applyAlignment="1"/>
    <xf numFmtId="0" fontId="25" fillId="16" borderId="35" xfId="25" applyFont="1" applyFill="1" applyBorder="1"/>
    <xf numFmtId="0" fontId="44" fillId="0" borderId="35" xfId="25" applyFont="1" applyBorder="1"/>
    <xf numFmtId="0" fontId="25" fillId="16" borderId="0" xfId="25" applyFont="1" applyFill="1" applyBorder="1"/>
    <xf numFmtId="0" fontId="26" fillId="16" borderId="0" xfId="25" applyFont="1" applyFill="1" applyBorder="1"/>
    <xf numFmtId="0" fontId="26" fillId="16" borderId="0" xfId="25" applyFont="1" applyFill="1"/>
    <xf numFmtId="165" fontId="26" fillId="16" borderId="0" xfId="25" applyNumberFormat="1" applyFont="1" applyFill="1"/>
    <xf numFmtId="4" fontId="26" fillId="0" borderId="0" xfId="25" applyNumberFormat="1" applyFont="1"/>
    <xf numFmtId="0" fontId="25" fillId="16" borderId="0" xfId="25" applyFont="1" applyFill="1" applyAlignment="1"/>
    <xf numFmtId="0" fontId="28" fillId="0" borderId="0" xfId="25" applyFont="1" applyFill="1" applyAlignment="1">
      <alignment wrapText="1"/>
    </xf>
    <xf numFmtId="0" fontId="27" fillId="0" borderId="0" xfId="25" applyFont="1" applyFill="1" applyAlignment="1">
      <alignment wrapText="1"/>
    </xf>
    <xf numFmtId="0" fontId="27" fillId="16" borderId="0" xfId="25" applyFont="1" applyFill="1" applyAlignment="1">
      <alignment wrapText="1"/>
    </xf>
    <xf numFmtId="0" fontId="27" fillId="0" borderId="35" xfId="25" applyFont="1" applyFill="1" applyBorder="1" applyAlignment="1">
      <alignment horizontal="center" wrapText="1"/>
    </xf>
    <xf numFmtId="0" fontId="28" fillId="0" borderId="35" xfId="25" applyFont="1" applyFill="1" applyBorder="1" applyAlignment="1">
      <alignment wrapText="1"/>
    </xf>
    <xf numFmtId="0" fontId="27" fillId="0" borderId="32" xfId="25" applyFont="1" applyFill="1" applyBorder="1" applyAlignment="1">
      <alignment horizontal="center" vertical="center" wrapText="1"/>
    </xf>
    <xf numFmtId="0" fontId="45" fillId="0" borderId="10" xfId="25" applyFont="1" applyBorder="1"/>
    <xf numFmtId="0" fontId="27" fillId="0" borderId="37" xfId="25" applyFont="1" applyFill="1" applyBorder="1" applyAlignment="1">
      <alignment horizontal="center" vertical="center" wrapText="1"/>
    </xf>
    <xf numFmtId="0" fontId="47" fillId="0" borderId="10" xfId="25" applyFont="1" applyBorder="1"/>
    <xf numFmtId="0" fontId="47" fillId="0" borderId="0" xfId="25" applyFont="1"/>
    <xf numFmtId="9" fontId="27" fillId="0" borderId="10" xfId="25" applyNumberFormat="1" applyFont="1" applyFill="1" applyBorder="1" applyAlignment="1">
      <alignment horizontal="center" vertical="center" wrapText="1"/>
    </xf>
    <xf numFmtId="0" fontId="27" fillId="0" borderId="10" xfId="25" applyFont="1" applyFill="1" applyBorder="1" applyAlignment="1">
      <alignment vertical="center" wrapText="1"/>
    </xf>
    <xf numFmtId="0" fontId="27" fillId="0" borderId="11" xfId="25" applyFont="1" applyFill="1" applyBorder="1" applyAlignment="1">
      <alignment horizontal="center" vertical="center" wrapText="1"/>
    </xf>
    <xf numFmtId="0" fontId="27" fillId="0" borderId="10" xfId="25" applyFont="1" applyFill="1" applyBorder="1" applyAlignment="1">
      <alignment horizontal="center" vertical="center" wrapText="1"/>
    </xf>
    <xf numFmtId="0" fontId="27" fillId="0" borderId="10" xfId="25" applyFont="1" applyFill="1" applyBorder="1" applyAlignment="1" applyProtection="1">
      <alignment horizontal="center" vertical="center" wrapText="1"/>
    </xf>
    <xf numFmtId="0" fontId="28" fillId="0" borderId="10" xfId="25" applyFont="1" applyFill="1" applyBorder="1" applyAlignment="1">
      <alignment horizontal="center" vertical="center" wrapText="1"/>
    </xf>
    <xf numFmtId="0" fontId="28" fillId="0" borderId="10" xfId="25" applyFont="1" applyFill="1" applyBorder="1" applyAlignment="1">
      <alignment horizontal="right" vertical="center" wrapText="1"/>
    </xf>
    <xf numFmtId="0" fontId="48" fillId="16" borderId="10" xfId="25" applyFont="1" applyFill="1" applyBorder="1" applyAlignment="1">
      <alignment wrapText="1"/>
    </xf>
    <xf numFmtId="0" fontId="27" fillId="0" borderId="10" xfId="25" applyFont="1" applyBorder="1"/>
    <xf numFmtId="0" fontId="27" fillId="0" borderId="0" xfId="25" applyFont="1"/>
    <xf numFmtId="0" fontId="28" fillId="16" borderId="10" xfId="25" applyFont="1" applyFill="1" applyBorder="1" applyAlignment="1"/>
    <xf numFmtId="0" fontId="28" fillId="16" borderId="0" xfId="25" applyFont="1" applyFill="1" applyAlignment="1">
      <alignment wrapText="1"/>
    </xf>
    <xf numFmtId="0" fontId="28" fillId="0" borderId="0" xfId="25" applyFont="1" applyFill="1" applyAlignment="1" applyProtection="1">
      <protection locked="0"/>
    </xf>
    <xf numFmtId="0" fontId="28" fillId="0" borderId="0" xfId="25" applyFont="1" applyAlignment="1" applyProtection="1">
      <protection locked="0"/>
    </xf>
    <xf numFmtId="0" fontId="27" fillId="0" borderId="0" xfId="25" applyFont="1" applyBorder="1" applyAlignment="1" applyProtection="1">
      <protection locked="0"/>
    </xf>
    <xf numFmtId="0" fontId="27" fillId="16" borderId="0" xfId="25" applyFont="1" applyFill="1" applyBorder="1" applyAlignment="1" applyProtection="1">
      <protection locked="0"/>
    </xf>
    <xf numFmtId="0" fontId="27" fillId="0" borderId="0" xfId="25" applyFont="1" applyAlignment="1" applyProtection="1">
      <protection locked="0"/>
    </xf>
    <xf numFmtId="0" fontId="27" fillId="0" borderId="0" xfId="25" applyFont="1" applyFill="1" applyAlignment="1" applyProtection="1">
      <protection locked="0"/>
    </xf>
    <xf numFmtId="0" fontId="27" fillId="0" borderId="0" xfId="25" applyFont="1" applyFill="1" applyBorder="1" applyAlignment="1" applyProtection="1">
      <protection locked="0"/>
    </xf>
    <xf numFmtId="2" fontId="28" fillId="0" borderId="0" xfId="25" applyNumberFormat="1" applyFont="1" applyAlignment="1" applyProtection="1">
      <protection locked="0"/>
    </xf>
    <xf numFmtId="0" fontId="27" fillId="16" borderId="0" xfId="25" applyFont="1" applyFill="1" applyAlignment="1" applyProtection="1">
      <protection locked="0"/>
    </xf>
    <xf numFmtId="0" fontId="28" fillId="0" borderId="0" xfId="25" applyFont="1" applyFill="1" applyAlignment="1" applyProtection="1">
      <alignment wrapText="1"/>
      <protection locked="0"/>
    </xf>
    <xf numFmtId="0" fontId="28" fillId="0" borderId="0" xfId="25" applyFont="1" applyAlignment="1" applyProtection="1">
      <alignment wrapText="1"/>
      <protection locked="0"/>
    </xf>
    <xf numFmtId="0" fontId="28" fillId="16" borderId="0" xfId="25" applyFont="1" applyFill="1" applyAlignment="1" applyProtection="1">
      <alignment wrapText="1"/>
      <protection locked="0"/>
    </xf>
    <xf numFmtId="0" fontId="45" fillId="16" borderId="0" xfId="25" applyFont="1" applyFill="1"/>
    <xf numFmtId="0" fontId="40" fillId="16" borderId="12" xfId="0" applyFont="1" applyFill="1" applyBorder="1" applyAlignment="1">
      <alignment horizontal="left" vertical="center"/>
    </xf>
    <xf numFmtId="165" fontId="29" fillId="16" borderId="25" xfId="0" applyNumberFormat="1" applyFont="1" applyFill="1" applyBorder="1" applyAlignment="1" applyProtection="1">
      <alignment horizontal="center"/>
      <protection locked="0"/>
    </xf>
    <xf numFmtId="165" fontId="30" fillId="0" borderId="25" xfId="0" applyNumberFormat="1" applyFont="1" applyFill="1" applyBorder="1" applyAlignment="1" applyProtection="1">
      <alignment horizontal="center"/>
      <protection locked="0"/>
    </xf>
    <xf numFmtId="0" fontId="49" fillId="16" borderId="10" xfId="0" applyNumberFormat="1" applyFont="1" applyFill="1" applyBorder="1" applyAlignment="1" applyProtection="1">
      <alignment wrapText="1"/>
    </xf>
    <xf numFmtId="0" fontId="49" fillId="16" borderId="13" xfId="0" applyNumberFormat="1" applyFont="1" applyFill="1" applyBorder="1" applyAlignment="1" applyProtection="1">
      <alignment wrapText="1"/>
    </xf>
    <xf numFmtId="0" fontId="49" fillId="16" borderId="10" xfId="0" applyNumberFormat="1" applyFont="1" applyFill="1" applyBorder="1" applyAlignment="1" applyProtection="1">
      <alignment vertical="center" wrapText="1"/>
    </xf>
    <xf numFmtId="165" fontId="28" fillId="15" borderId="10" xfId="23" applyNumberFormat="1" applyFont="1" applyFill="1" applyBorder="1" applyAlignment="1">
      <alignment vertical="center" wrapText="1"/>
    </xf>
    <xf numFmtId="0" fontId="1" fillId="0" borderId="0" xfId="27" applyProtection="1">
      <protection locked="0"/>
    </xf>
    <xf numFmtId="0" fontId="1" fillId="0" borderId="0" xfId="27" applyAlignment="1" applyProtection="1">
      <alignment horizontal="left"/>
      <protection locked="0"/>
    </xf>
    <xf numFmtId="0" fontId="50" fillId="0" borderId="0" xfId="27" applyFont="1" applyAlignment="1" applyProtection="1">
      <alignment horizontal="center"/>
      <protection locked="0"/>
    </xf>
    <xf numFmtId="0" fontId="1" fillId="0" borderId="35" xfId="27" applyBorder="1" applyAlignment="1" applyProtection="1">
      <alignment horizontal="left"/>
      <protection locked="0"/>
    </xf>
    <xf numFmtId="0" fontId="50" fillId="0" borderId="35" xfId="27" applyFont="1" applyBorder="1" applyAlignment="1" applyProtection="1">
      <alignment horizontal="left"/>
      <protection locked="0"/>
    </xf>
    <xf numFmtId="0" fontId="1" fillId="0" borderId="0" xfId="27"/>
    <xf numFmtId="0" fontId="1" fillId="0" borderId="0" xfId="27" applyAlignment="1" applyProtection="1">
      <alignment horizontal="center"/>
      <protection locked="0"/>
    </xf>
    <xf numFmtId="0" fontId="51" fillId="0" borderId="0" xfId="27" applyFont="1" applyAlignment="1" applyProtection="1">
      <alignment horizontal="left"/>
      <protection locked="0"/>
    </xf>
    <xf numFmtId="0" fontId="50" fillId="0" borderId="0" xfId="27" applyFont="1" applyProtection="1">
      <protection locked="0"/>
    </xf>
    <xf numFmtId="0" fontId="1" fillId="0" borderId="0" xfId="27" applyFill="1" applyProtection="1">
      <protection locked="0"/>
    </xf>
    <xf numFmtId="0" fontId="50" fillId="0" borderId="0" xfId="27" applyFont="1" applyFill="1" applyProtection="1">
      <protection locked="0"/>
    </xf>
    <xf numFmtId="0" fontId="1" fillId="0" borderId="41" xfId="27" applyFont="1" applyFill="1" applyBorder="1" applyAlignment="1" applyProtection="1">
      <alignment horizontal="center"/>
    </xf>
    <xf numFmtId="0" fontId="50" fillId="0" borderId="42" xfId="27" applyFont="1" applyFill="1" applyBorder="1" applyAlignment="1" applyProtection="1">
      <alignment horizontal="center"/>
    </xf>
    <xf numFmtId="16" fontId="1" fillId="0" borderId="41" xfId="27" applyNumberFormat="1" applyFill="1" applyBorder="1" applyProtection="1"/>
    <xf numFmtId="16" fontId="1" fillId="0" borderId="41" xfId="27" applyNumberFormat="1" applyFont="1" applyFill="1" applyBorder="1" applyProtection="1"/>
    <xf numFmtId="0" fontId="1" fillId="0" borderId="41" xfId="27" applyFont="1" applyFill="1" applyBorder="1" applyProtection="1"/>
    <xf numFmtId="0" fontId="1" fillId="0" borderId="41" xfId="27" applyFill="1" applyBorder="1" applyProtection="1"/>
    <xf numFmtId="0" fontId="50" fillId="0" borderId="41" xfId="27" applyFont="1" applyFill="1" applyBorder="1" applyProtection="1"/>
    <xf numFmtId="0" fontId="1" fillId="0" borderId="43" xfId="27" applyFill="1" applyBorder="1" applyProtection="1"/>
    <xf numFmtId="0" fontId="50" fillId="0" borderId="42" xfId="27" applyFont="1" applyFill="1" applyBorder="1" applyProtection="1"/>
    <xf numFmtId="0" fontId="50" fillId="0" borderId="46" xfId="27" applyFont="1" applyFill="1" applyBorder="1" applyProtection="1">
      <protection locked="0"/>
    </xf>
    <xf numFmtId="0" fontId="50" fillId="0" borderId="47" xfId="27" applyFont="1" applyFill="1" applyBorder="1" applyProtection="1">
      <protection locked="0"/>
    </xf>
    <xf numFmtId="0" fontId="50" fillId="0" borderId="47" xfId="27" applyFont="1" applyFill="1" applyBorder="1" applyProtection="1"/>
    <xf numFmtId="0" fontId="50" fillId="0" borderId="48" xfId="27" applyFont="1" applyFill="1" applyBorder="1" applyProtection="1">
      <protection locked="0"/>
    </xf>
    <xf numFmtId="0" fontId="50" fillId="0" borderId="44" xfId="27" applyFont="1" applyFill="1" applyBorder="1" applyProtection="1"/>
    <xf numFmtId="0" fontId="1" fillId="0" borderId="10" xfId="27" applyFill="1" applyBorder="1" applyAlignment="1" applyProtection="1">
      <alignment vertical="center"/>
      <protection locked="0"/>
    </xf>
    <xf numFmtId="0" fontId="1" fillId="0" borderId="10" xfId="27" applyFill="1" applyBorder="1" applyProtection="1">
      <protection locked="0"/>
    </xf>
    <xf numFmtId="0" fontId="1" fillId="0" borderId="12" xfId="27" applyFill="1" applyBorder="1" applyAlignment="1" applyProtection="1">
      <alignment vertical="center"/>
      <protection locked="0"/>
    </xf>
    <xf numFmtId="0" fontId="1" fillId="0" borderId="10" xfId="27" applyNumberFormat="1" applyFill="1" applyBorder="1" applyProtection="1">
      <protection locked="0"/>
    </xf>
    <xf numFmtId="0" fontId="1" fillId="0" borderId="12" xfId="27" applyFont="1" applyFill="1" applyBorder="1" applyAlignment="1" applyProtection="1">
      <alignment vertical="center"/>
      <protection locked="0"/>
    </xf>
    <xf numFmtId="0" fontId="1" fillId="0" borderId="10" xfId="27" applyFont="1" applyFill="1" applyBorder="1" applyProtection="1">
      <protection locked="0"/>
    </xf>
    <xf numFmtId="0" fontId="1" fillId="0" borderId="11" xfId="27" applyFill="1" applyBorder="1" applyAlignment="1" applyProtection="1">
      <alignment horizontal="right" vertical="center"/>
      <protection locked="0"/>
    </xf>
    <xf numFmtId="0" fontId="1" fillId="0" borderId="11" xfId="27" applyFill="1" applyBorder="1" applyAlignment="1" applyProtection="1">
      <alignment horizontal="left" vertical="center"/>
      <protection locked="0"/>
    </xf>
    <xf numFmtId="0" fontId="1" fillId="0" borderId="10" xfId="27" applyFill="1" applyBorder="1" applyAlignment="1" applyProtection="1">
      <alignment horizontal="left" vertical="center"/>
      <protection locked="0"/>
    </xf>
    <xf numFmtId="2" fontId="1" fillId="0" borderId="10" xfId="27" applyNumberFormat="1" applyFill="1" applyBorder="1" applyProtection="1">
      <protection locked="0"/>
    </xf>
    <xf numFmtId="0" fontId="1" fillId="0" borderId="10" xfId="27" applyFont="1" applyFill="1" applyBorder="1" applyAlignment="1" applyProtection="1">
      <alignment vertical="center"/>
      <protection locked="0"/>
    </xf>
    <xf numFmtId="0" fontId="1" fillId="22" borderId="0" xfId="27" applyFill="1"/>
    <xf numFmtId="0" fontId="50" fillId="0" borderId="10" xfId="27" applyFont="1" applyFill="1" applyBorder="1" applyAlignment="1" applyProtection="1">
      <alignment vertical="center"/>
      <protection locked="0"/>
    </xf>
    <xf numFmtId="1" fontId="50" fillId="0" borderId="10" xfId="27" applyNumberFormat="1" applyFont="1" applyFill="1" applyBorder="1" applyProtection="1"/>
    <xf numFmtId="2" fontId="50" fillId="0" borderId="10" xfId="27" applyNumberFormat="1" applyFont="1" applyFill="1" applyBorder="1" applyProtection="1"/>
    <xf numFmtId="165" fontId="50" fillId="0" borderId="10" xfId="27" applyNumberFormat="1" applyFont="1" applyFill="1" applyBorder="1" applyProtection="1"/>
    <xf numFmtId="0" fontId="52" fillId="0" borderId="0" xfId="28" applyFont="1" applyFill="1" applyBorder="1" applyAlignment="1" applyProtection="1">
      <protection locked="0"/>
    </xf>
    <xf numFmtId="0" fontId="52" fillId="0" borderId="0" xfId="28" applyFont="1" applyFill="1" applyAlignment="1" applyProtection="1">
      <protection locked="0"/>
    </xf>
    <xf numFmtId="0" fontId="1" fillId="0" borderId="0" xfId="27" applyFill="1"/>
    <xf numFmtId="0" fontId="1" fillId="0" borderId="0" xfId="27" applyFont="1" applyAlignment="1">
      <alignment horizontal="center"/>
    </xf>
    <xf numFmtId="0" fontId="1" fillId="0" borderId="0" xfId="27" applyFont="1"/>
    <xf numFmtId="0" fontId="1" fillId="0" borderId="0" xfId="27" applyFont="1" applyFill="1" applyAlignment="1" applyProtection="1">
      <alignment horizontal="center"/>
      <protection locked="0"/>
    </xf>
    <xf numFmtId="0" fontId="1" fillId="0" borderId="0" xfId="27" applyFont="1" applyFill="1" applyAlignment="1" applyProtection="1">
      <alignment horizontal="left"/>
      <protection locked="0"/>
    </xf>
    <xf numFmtId="0" fontId="1" fillId="15" borderId="35" xfId="27" applyFont="1" applyFill="1" applyBorder="1" applyAlignment="1" applyProtection="1">
      <alignment horizontal="left"/>
      <protection locked="0"/>
    </xf>
    <xf numFmtId="0" fontId="50" fillId="23" borderId="35" xfId="27" applyFont="1" applyFill="1" applyBorder="1" applyAlignment="1" applyProtection="1">
      <alignment horizontal="left"/>
      <protection locked="0"/>
    </xf>
    <xf numFmtId="0" fontId="1" fillId="15" borderId="35" xfId="27" applyFont="1" applyFill="1" applyBorder="1" applyProtection="1">
      <protection locked="0"/>
    </xf>
    <xf numFmtId="0" fontId="1" fillId="23" borderId="35" xfId="27" applyFont="1" applyFill="1" applyBorder="1" applyProtection="1">
      <protection locked="0"/>
    </xf>
    <xf numFmtId="0" fontId="1" fillId="15" borderId="0" xfId="27" applyFont="1" applyFill="1" applyProtection="1">
      <protection locked="0"/>
    </xf>
    <xf numFmtId="0" fontId="1" fillId="23" borderId="0" xfId="27" applyFont="1" applyFill="1" applyProtection="1">
      <protection locked="0"/>
    </xf>
    <xf numFmtId="0" fontId="1" fillId="0" borderId="0" xfId="27" applyFont="1" applyFill="1" applyProtection="1">
      <protection locked="0"/>
    </xf>
    <xf numFmtId="0" fontId="1" fillId="15" borderId="0" xfId="27" applyFont="1" applyFill="1" applyAlignment="1" applyProtection="1">
      <alignment horizontal="center"/>
      <protection locked="0"/>
    </xf>
    <xf numFmtId="0" fontId="50" fillId="23" borderId="0" xfId="27" applyFont="1" applyFill="1" applyProtection="1">
      <protection locked="0"/>
    </xf>
    <xf numFmtId="0" fontId="1" fillId="15" borderId="0" xfId="27" applyFont="1" applyFill="1" applyAlignment="1" applyProtection="1">
      <alignment horizontal="left"/>
      <protection locked="0"/>
    </xf>
    <xf numFmtId="14" fontId="50" fillId="15" borderId="0" xfId="27" applyNumberFormat="1" applyFont="1" applyFill="1" applyProtection="1">
      <protection locked="0"/>
    </xf>
    <xf numFmtId="0" fontId="1" fillId="24" borderId="47" xfId="27" applyFont="1" applyFill="1" applyBorder="1" applyAlignment="1" applyProtection="1">
      <alignment wrapText="1"/>
    </xf>
    <xf numFmtId="0" fontId="1" fillId="15" borderId="41" xfId="27" applyFont="1" applyFill="1" applyBorder="1" applyAlignment="1" applyProtection="1">
      <alignment horizontal="center"/>
    </xf>
    <xf numFmtId="0" fontId="50" fillId="23" borderId="41" xfId="27" applyFont="1" applyFill="1" applyBorder="1" applyAlignment="1" applyProtection="1">
      <alignment horizontal="center"/>
    </xf>
    <xf numFmtId="0" fontId="1" fillId="23" borderId="41" xfId="27" applyFont="1" applyFill="1" applyBorder="1" applyAlignment="1" applyProtection="1">
      <alignment horizontal="center"/>
    </xf>
    <xf numFmtId="0" fontId="1" fillId="23" borderId="42" xfId="27" applyFont="1" applyFill="1" applyBorder="1" applyProtection="1"/>
    <xf numFmtId="0" fontId="1" fillId="24" borderId="43" xfId="27" applyFill="1" applyBorder="1" applyAlignment="1" applyProtection="1">
      <alignment wrapText="1"/>
    </xf>
    <xf numFmtId="0" fontId="1" fillId="15" borderId="41" xfId="27" applyFill="1" applyBorder="1" applyAlignment="1" applyProtection="1">
      <alignment horizontal="center" wrapText="1"/>
    </xf>
    <xf numFmtId="0" fontId="1" fillId="15" borderId="41" xfId="27" applyFont="1" applyFill="1" applyBorder="1" applyAlignment="1" applyProtection="1">
      <alignment horizontal="center" wrapText="1"/>
    </xf>
    <xf numFmtId="16" fontId="1" fillId="15" borderId="41" xfId="27" applyNumberFormat="1" applyFont="1" applyFill="1" applyBorder="1" applyAlignment="1" applyProtection="1">
      <alignment horizontal="center" wrapText="1"/>
    </xf>
    <xf numFmtId="0" fontId="50" fillId="0" borderId="41" xfId="27" applyFont="1" applyFill="1" applyBorder="1" applyAlignment="1" applyProtection="1">
      <alignment horizontal="center" wrapText="1"/>
    </xf>
    <xf numFmtId="0" fontId="1" fillId="15" borderId="41" xfId="27" applyFont="1" applyFill="1" applyBorder="1" applyAlignment="1" applyProtection="1">
      <alignment wrapText="1"/>
    </xf>
    <xf numFmtId="0" fontId="1" fillId="15" borderId="41" xfId="27" applyFill="1" applyBorder="1" applyAlignment="1" applyProtection="1">
      <alignment wrapText="1"/>
    </xf>
    <xf numFmtId="0" fontId="1" fillId="15" borderId="43" xfId="27" applyFont="1" applyFill="1" applyBorder="1" applyAlignment="1" applyProtection="1">
      <alignment wrapText="1"/>
    </xf>
    <xf numFmtId="0" fontId="1" fillId="15" borderId="43" xfId="27" applyFill="1" applyBorder="1" applyAlignment="1" applyProtection="1">
      <alignment wrapText="1"/>
    </xf>
    <xf numFmtId="0" fontId="50" fillId="0" borderId="41" xfId="27" applyFont="1" applyFill="1" applyBorder="1" applyAlignment="1" applyProtection="1">
      <alignment wrapText="1"/>
    </xf>
    <xf numFmtId="0" fontId="50" fillId="15" borderId="41" xfId="27" applyFont="1" applyFill="1" applyBorder="1" applyAlignment="1" applyProtection="1">
      <alignment wrapText="1"/>
    </xf>
    <xf numFmtId="0" fontId="50" fillId="23" borderId="41" xfId="27" applyFont="1" applyFill="1" applyBorder="1" applyAlignment="1" applyProtection="1">
      <alignment wrapText="1"/>
    </xf>
    <xf numFmtId="16" fontId="1" fillId="15" borderId="41" xfId="27" applyNumberFormat="1" applyFont="1" applyFill="1" applyBorder="1" applyAlignment="1" applyProtection="1">
      <alignment wrapText="1"/>
    </xf>
    <xf numFmtId="16" fontId="1" fillId="15" borderId="41" xfId="27" applyNumberFormat="1" applyFill="1" applyBorder="1" applyAlignment="1" applyProtection="1">
      <alignment wrapText="1"/>
    </xf>
    <xf numFmtId="0" fontId="1" fillId="0" borderId="0" xfId="27" applyAlignment="1">
      <alignment wrapText="1"/>
    </xf>
    <xf numFmtId="0" fontId="1" fillId="0" borderId="49" xfId="27" applyFill="1" applyBorder="1" applyAlignment="1" applyProtection="1">
      <alignment wrapText="1"/>
      <protection locked="0"/>
    </xf>
    <xf numFmtId="0" fontId="1" fillId="24" borderId="14" xfId="27" applyFont="1" applyFill="1" applyBorder="1" applyAlignment="1" applyProtection="1">
      <alignment vertical="center"/>
      <protection locked="0"/>
    </xf>
    <xf numFmtId="0" fontId="1" fillId="0" borderId="50" xfId="27" applyFont="1" applyFill="1" applyBorder="1" applyProtection="1">
      <protection locked="0"/>
    </xf>
    <xf numFmtId="0" fontId="1" fillId="0" borderId="41" xfId="27" applyFont="1" applyFill="1" applyBorder="1" applyProtection="1">
      <protection locked="0"/>
    </xf>
    <xf numFmtId="0" fontId="50" fillId="0" borderId="50" xfId="27" applyFont="1" applyFill="1" applyBorder="1" applyProtection="1"/>
    <xf numFmtId="0" fontId="50" fillId="0" borderId="10" xfId="27" applyFont="1" applyFill="1" applyBorder="1" applyAlignment="1" applyProtection="1">
      <alignment vertical="center"/>
    </xf>
    <xf numFmtId="0" fontId="50" fillId="0" borderId="10" xfId="27" applyFont="1" applyFill="1" applyBorder="1" applyAlignment="1" applyProtection="1">
      <alignment horizontal="right" vertical="center"/>
      <protection locked="0"/>
    </xf>
    <xf numFmtId="0" fontId="1" fillId="0" borderId="10" xfId="27" applyFont="1" applyFill="1" applyBorder="1" applyAlignment="1" applyProtection="1">
      <alignment horizontal="center" vertical="center" wrapText="1"/>
      <protection locked="0"/>
    </xf>
    <xf numFmtId="0" fontId="1" fillId="0" borderId="47" xfId="27" applyFont="1" applyFill="1" applyBorder="1" applyProtection="1">
      <protection locked="0"/>
    </xf>
    <xf numFmtId="0" fontId="1" fillId="0" borderId="49" xfId="27" applyFill="1" applyBorder="1" applyProtection="1">
      <protection locked="0"/>
    </xf>
    <xf numFmtId="0" fontId="1" fillId="0" borderId="41" xfId="27" applyNumberFormat="1" applyFont="1" applyFill="1" applyBorder="1" applyProtection="1">
      <protection locked="0"/>
    </xf>
    <xf numFmtId="0" fontId="1" fillId="0" borderId="45" xfId="27" applyFill="1" applyBorder="1" applyProtection="1">
      <protection locked="0"/>
    </xf>
    <xf numFmtId="0" fontId="1" fillId="0" borderId="42" xfId="27" applyFont="1" applyFill="1" applyBorder="1" applyProtection="1">
      <protection locked="0"/>
    </xf>
    <xf numFmtId="0" fontId="1" fillId="0" borderId="10" xfId="27" applyFont="1" applyFill="1" applyBorder="1" applyAlignment="1" applyProtection="1">
      <alignment horizontal="center" vertical="center"/>
      <protection locked="0"/>
    </xf>
    <xf numFmtId="0" fontId="1" fillId="0" borderId="14" xfId="27" applyFill="1" applyBorder="1" applyProtection="1">
      <protection locked="0"/>
    </xf>
    <xf numFmtId="0" fontId="1" fillId="24" borderId="10" xfId="27" applyFont="1" applyFill="1" applyBorder="1" applyAlignment="1" applyProtection="1">
      <alignment vertical="center"/>
      <protection locked="0"/>
    </xf>
    <xf numFmtId="0" fontId="1" fillId="0" borderId="10" xfId="27" applyFont="1" applyFill="1" applyBorder="1" applyAlignment="1" applyProtection="1">
      <alignment horizontal="center" vertical="top"/>
      <protection locked="0"/>
    </xf>
    <xf numFmtId="0" fontId="1" fillId="0" borderId="10" xfId="27" applyFont="1" applyFill="1" applyBorder="1" applyAlignment="1" applyProtection="1">
      <alignment horizontal="left" vertical="center"/>
      <protection locked="0"/>
    </xf>
    <xf numFmtId="0" fontId="1" fillId="0" borderId="51" xfId="27" applyFont="1" applyFill="1" applyBorder="1" applyProtection="1">
      <protection locked="0"/>
    </xf>
    <xf numFmtId="0" fontId="1" fillId="0" borderId="12" xfId="27" applyFont="1" applyFill="1" applyBorder="1" applyAlignment="1" applyProtection="1">
      <alignment horizontal="center" vertical="center"/>
      <protection locked="0"/>
    </xf>
    <xf numFmtId="0" fontId="1" fillId="0" borderId="12" xfId="27" applyFill="1" applyBorder="1" applyAlignment="1" applyProtection="1">
      <alignment horizontal="left" vertical="center"/>
      <protection locked="0"/>
    </xf>
    <xf numFmtId="0" fontId="1" fillId="0" borderId="13" xfId="27" applyFont="1" applyFill="1" applyBorder="1" applyAlignment="1" applyProtection="1">
      <alignment vertical="center"/>
      <protection locked="0"/>
    </xf>
    <xf numFmtId="0" fontId="1" fillId="15" borderId="12" xfId="27" applyFont="1" applyFill="1" applyBorder="1" applyAlignment="1" applyProtection="1">
      <alignment horizontal="center" vertical="center"/>
      <protection locked="0"/>
    </xf>
    <xf numFmtId="0" fontId="1" fillId="15" borderId="10" xfId="27" applyFill="1" applyBorder="1" applyAlignment="1" applyProtection="1">
      <alignment horizontal="left" vertical="center"/>
      <protection locked="0"/>
    </xf>
    <xf numFmtId="0" fontId="1" fillId="15" borderId="14" xfId="27" applyFill="1" applyBorder="1" applyProtection="1">
      <protection locked="0"/>
    </xf>
    <xf numFmtId="0" fontId="1" fillId="0" borderId="52" xfId="27" applyFill="1" applyBorder="1" applyAlignment="1" applyProtection="1">
      <alignment horizontal="left"/>
      <protection locked="0"/>
    </xf>
    <xf numFmtId="0" fontId="1" fillId="0" borderId="10" xfId="27" applyFont="1" applyFill="1" applyBorder="1" applyAlignment="1" applyProtection="1">
      <alignment vertical="center" wrapText="1"/>
      <protection locked="0"/>
    </xf>
    <xf numFmtId="0" fontId="1" fillId="0" borderId="53" xfId="27" applyFill="1" applyBorder="1" applyProtection="1">
      <protection locked="0"/>
    </xf>
    <xf numFmtId="165" fontId="1" fillId="0" borderId="50" xfId="27" applyNumberFormat="1" applyFont="1" applyFill="1" applyBorder="1" applyProtection="1">
      <protection locked="0"/>
    </xf>
    <xf numFmtId="165" fontId="1" fillId="0" borderId="41" xfId="27" applyNumberFormat="1" applyFont="1" applyFill="1" applyBorder="1" applyProtection="1">
      <protection locked="0"/>
    </xf>
    <xf numFmtId="0" fontId="1" fillId="15" borderId="10" xfId="27" applyFill="1" applyBorder="1" applyAlignment="1" applyProtection="1">
      <alignment vertical="center"/>
      <protection locked="0"/>
    </xf>
    <xf numFmtId="0" fontId="1" fillId="0" borderId="14" xfId="27" applyFont="1" applyFill="1" applyBorder="1" applyProtection="1">
      <protection locked="0"/>
    </xf>
    <xf numFmtId="0" fontId="1" fillId="24" borderId="11" xfId="27" applyFont="1" applyFill="1" applyBorder="1" applyAlignment="1" applyProtection="1">
      <alignment vertical="center"/>
      <protection locked="0"/>
    </xf>
    <xf numFmtId="0" fontId="1" fillId="24" borderId="54" xfId="27" applyFont="1" applyFill="1" applyBorder="1" applyAlignment="1" applyProtection="1">
      <alignment vertical="center"/>
      <protection locked="0"/>
    </xf>
    <xf numFmtId="0" fontId="1" fillId="24" borderId="50" xfId="27" applyFont="1" applyFill="1" applyBorder="1" applyAlignment="1" applyProtection="1">
      <alignment vertical="center"/>
      <protection locked="0"/>
    </xf>
    <xf numFmtId="0" fontId="1" fillId="0" borderId="10" xfId="27" applyFont="1" applyFill="1" applyBorder="1" applyAlignment="1" applyProtection="1">
      <alignment horizontal="left" vertical="center" wrapText="1"/>
      <protection locked="0"/>
    </xf>
    <xf numFmtId="0" fontId="1" fillId="0" borderId="34" xfId="27" applyFill="1" applyBorder="1" applyProtection="1">
      <protection locked="0"/>
    </xf>
    <xf numFmtId="0" fontId="50" fillId="0" borderId="51" xfId="27" applyFont="1" applyFill="1" applyBorder="1" applyProtection="1"/>
    <xf numFmtId="0" fontId="1" fillId="0" borderId="34" xfId="27" applyFill="1" applyBorder="1" applyAlignment="1" applyProtection="1">
      <alignment horizontal="left" vertical="center"/>
      <protection locked="0"/>
    </xf>
    <xf numFmtId="0" fontId="1" fillId="0" borderId="0" xfId="27" applyFont="1" applyFill="1" applyBorder="1" applyAlignment="1" applyProtection="1">
      <alignment vertical="center"/>
      <protection locked="0"/>
    </xf>
    <xf numFmtId="0" fontId="1" fillId="0" borderId="11" xfId="27" applyFont="1" applyFill="1" applyBorder="1" applyAlignment="1" applyProtection="1">
      <alignment horizontal="center" vertical="center"/>
      <protection locked="0"/>
    </xf>
    <xf numFmtId="0" fontId="50" fillId="0" borderId="54" xfId="27" applyFont="1" applyFill="1" applyBorder="1" applyAlignment="1" applyProtection="1">
      <alignment vertical="center"/>
      <protection locked="0"/>
    </xf>
    <xf numFmtId="1" fontId="50" fillId="0" borderId="55" xfId="27" applyNumberFormat="1" applyFont="1" applyFill="1" applyBorder="1" applyProtection="1"/>
    <xf numFmtId="0" fontId="1" fillId="0" borderId="0" xfId="27" applyFont="1" applyFill="1" applyBorder="1" applyAlignment="1" applyProtection="1">
      <alignment horizontal="center" vertical="center"/>
      <protection locked="0"/>
    </xf>
    <xf numFmtId="165" fontId="1" fillId="0" borderId="0" xfId="27" applyNumberFormat="1" applyFont="1" applyFill="1" applyProtection="1">
      <protection locked="0"/>
    </xf>
    <xf numFmtId="0" fontId="24" fillId="0" borderId="0" xfId="27" applyFont="1" applyFill="1" applyProtection="1">
      <protection locked="0"/>
    </xf>
    <xf numFmtId="0" fontId="50" fillId="0" borderId="0" xfId="27" applyFont="1" applyAlignment="1">
      <alignment horizontal="center"/>
    </xf>
    <xf numFmtId="0" fontId="50" fillId="0" borderId="10" xfId="27" applyFont="1" applyBorder="1" applyAlignment="1">
      <alignment wrapText="1"/>
    </xf>
    <xf numFmtId="0" fontId="1" fillId="0" borderId="10" xfId="27" applyFont="1" applyFill="1" applyBorder="1"/>
    <xf numFmtId="0" fontId="1" fillId="0" borderId="10" xfId="27" applyFill="1" applyBorder="1"/>
    <xf numFmtId="0" fontId="1" fillId="0" borderId="14" xfId="27" applyFont="1" applyFill="1" applyBorder="1"/>
    <xf numFmtId="0" fontId="50" fillId="0" borderId="10" xfId="27" applyFont="1" applyFill="1" applyBorder="1"/>
    <xf numFmtId="0" fontId="50" fillId="0" borderId="14" xfId="27" applyFont="1" applyFill="1" applyBorder="1"/>
    <xf numFmtId="0" fontId="1" fillId="0" borderId="10" xfId="27" applyBorder="1"/>
    <xf numFmtId="0" fontId="50" fillId="0" borderId="10" xfId="27" applyFont="1" applyBorder="1"/>
    <xf numFmtId="0" fontId="53" fillId="0" borderId="0" xfId="27" applyFont="1" applyFill="1" applyBorder="1" applyAlignment="1" applyProtection="1">
      <protection locked="0"/>
    </xf>
    <xf numFmtId="0" fontId="27" fillId="0" borderId="0" xfId="27" applyFont="1" applyFill="1" applyProtection="1">
      <protection locked="0"/>
    </xf>
    <xf numFmtId="0" fontId="40" fillId="0" borderId="0" xfId="27" applyFont="1" applyFill="1" applyProtection="1">
      <protection locked="0"/>
    </xf>
    <xf numFmtId="0" fontId="53" fillId="0" borderId="0" xfId="27" applyFont="1" applyFill="1" applyAlignment="1" applyProtection="1">
      <protection locked="0"/>
    </xf>
    <xf numFmtId="0" fontId="50" fillId="0" borderId="14" xfId="27" applyFont="1" applyBorder="1" applyAlignment="1">
      <alignment wrapText="1"/>
    </xf>
    <xf numFmtId="0" fontId="1" fillId="0" borderId="10" xfId="27" applyFont="1" applyBorder="1" applyAlignment="1">
      <alignment wrapText="1"/>
    </xf>
    <xf numFmtId="0" fontId="1" fillId="0" borderId="14" xfId="27" applyFont="1" applyBorder="1" applyAlignment="1">
      <alignment wrapText="1"/>
    </xf>
    <xf numFmtId="0" fontId="27" fillId="0" borderId="0" xfId="0" applyFont="1" applyFill="1"/>
    <xf numFmtId="167" fontId="28" fillId="18" borderId="10" xfId="23" applyNumberFormat="1" applyFont="1" applyFill="1" applyBorder="1" applyAlignment="1">
      <alignment vertical="center" wrapText="1"/>
    </xf>
    <xf numFmtId="49" fontId="28" fillId="18" borderId="10" xfId="0" applyNumberFormat="1" applyFont="1" applyFill="1" applyBorder="1" applyAlignment="1">
      <alignment horizontal="right" vertical="center"/>
    </xf>
    <xf numFmtId="0" fontId="54" fillId="0" borderId="0" xfId="25" applyFont="1" applyFill="1" applyAlignment="1">
      <alignment wrapText="1"/>
    </xf>
    <xf numFmtId="0" fontId="18" fillId="16" borderId="10" xfId="0" applyNumberFormat="1" applyFont="1" applyFill="1" applyBorder="1" applyAlignment="1" applyProtection="1">
      <alignment vertical="center" wrapText="1"/>
    </xf>
    <xf numFmtId="0" fontId="25" fillId="16" borderId="10" xfId="25" applyFont="1" applyFill="1" applyBorder="1" applyAlignment="1">
      <alignment horizontal="center" vertical="center" wrapText="1"/>
    </xf>
    <xf numFmtId="0" fontId="26" fillId="0" borderId="10" xfId="25" applyFont="1" applyFill="1" applyBorder="1" applyAlignment="1">
      <alignment horizontal="center" vertical="center" wrapText="1"/>
    </xf>
    <xf numFmtId="2" fontId="26" fillId="16" borderId="10" xfId="25" applyNumberFormat="1" applyFont="1" applyFill="1" applyBorder="1" applyAlignment="1">
      <alignment wrapText="1"/>
    </xf>
    <xf numFmtId="2" fontId="26" fillId="0" borderId="10" xfId="25" applyNumberFormat="1" applyFont="1" applyFill="1" applyBorder="1" applyAlignment="1">
      <alignment wrapText="1"/>
    </xf>
    <xf numFmtId="0" fontId="26" fillId="0" borderId="10" xfId="25" applyFont="1" applyFill="1" applyBorder="1" applyAlignment="1">
      <alignment wrapText="1"/>
    </xf>
    <xf numFmtId="0" fontId="55" fillId="0" borderId="10" xfId="25" applyFont="1" applyBorder="1"/>
    <xf numFmtId="0" fontId="18" fillId="16" borderId="10" xfId="0" applyNumberFormat="1" applyFont="1" applyFill="1" applyBorder="1" applyAlignment="1" applyProtection="1">
      <alignment wrapText="1"/>
    </xf>
    <xf numFmtId="1" fontId="26" fillId="0" borderId="10" xfId="25" applyNumberFormat="1" applyFont="1" applyFill="1" applyBorder="1" applyAlignment="1">
      <alignment horizontal="center" vertical="center" wrapText="1"/>
    </xf>
    <xf numFmtId="0" fontId="26" fillId="16" borderId="10" xfId="25" applyFont="1" applyFill="1" applyBorder="1" applyAlignment="1">
      <alignment wrapText="1"/>
    </xf>
    <xf numFmtId="0" fontId="25" fillId="0" borderId="10" xfId="25" applyFont="1" applyFill="1" applyBorder="1" applyAlignment="1">
      <alignment wrapText="1"/>
    </xf>
    <xf numFmtId="0" fontId="25" fillId="16" borderId="10" xfId="25" applyFont="1" applyFill="1" applyBorder="1" applyAlignment="1">
      <alignment wrapText="1"/>
    </xf>
    <xf numFmtId="0" fontId="26" fillId="0" borderId="10" xfId="25" applyFont="1" applyFill="1" applyBorder="1" applyAlignment="1">
      <alignment horizontal="center" wrapText="1"/>
    </xf>
    <xf numFmtId="0" fontId="25" fillId="0" borderId="10" xfId="25" applyFont="1" applyBorder="1"/>
    <xf numFmtId="0" fontId="25" fillId="0" borderId="10" xfId="25" applyFont="1" applyFill="1" applyBorder="1" applyAlignment="1">
      <alignment horizontal="center" wrapText="1"/>
    </xf>
    <xf numFmtId="0" fontId="26" fillId="0" borderId="10" xfId="25" applyFont="1" applyFill="1" applyBorder="1" applyAlignment="1">
      <alignment horizontal="left" wrapText="1"/>
    </xf>
    <xf numFmtId="0" fontId="25" fillId="16" borderId="10" xfId="25" applyFont="1" applyFill="1" applyBorder="1" applyAlignment="1">
      <alignment horizontal="left"/>
    </xf>
    <xf numFmtId="0" fontId="26" fillId="16" borderId="10" xfId="25" applyFont="1" applyFill="1" applyBorder="1" applyAlignment="1"/>
    <xf numFmtId="0" fontId="25" fillId="16" borderId="10" xfId="25" applyNumberFormat="1" applyFont="1" applyFill="1" applyBorder="1" applyAlignment="1">
      <alignment horizontal="right"/>
    </xf>
    <xf numFmtId="0" fontId="25" fillId="16" borderId="10" xfId="25" applyNumberFormat="1" applyFont="1" applyFill="1" applyBorder="1" applyAlignment="1">
      <alignment horizontal="center"/>
    </xf>
    <xf numFmtId="2" fontId="25" fillId="16" borderId="10" xfId="25" applyNumberFormat="1" applyFont="1" applyFill="1" applyBorder="1" applyAlignment="1">
      <alignment horizontal="right"/>
    </xf>
    <xf numFmtId="1" fontId="25" fillId="16" borderId="10" xfId="25" applyNumberFormat="1" applyFont="1" applyFill="1" applyBorder="1" applyAlignment="1">
      <alignment horizontal="right"/>
    </xf>
    <xf numFmtId="0" fontId="25" fillId="0" borderId="10" xfId="25" applyFont="1" applyFill="1" applyBorder="1" applyAlignment="1">
      <alignment horizontal="center" vertical="center" wrapText="1"/>
    </xf>
    <xf numFmtId="0" fontId="26" fillId="0" borderId="37" xfId="25" applyFont="1" applyFill="1" applyBorder="1" applyAlignment="1">
      <alignment wrapText="1"/>
    </xf>
    <xf numFmtId="0" fontId="26" fillId="0" borderId="10" xfId="25" applyFont="1" applyBorder="1" applyAlignment="1">
      <alignment wrapText="1"/>
    </xf>
    <xf numFmtId="0" fontId="26" fillId="16" borderId="10" xfId="25" applyFont="1" applyFill="1" applyBorder="1" applyAlignment="1">
      <alignment horizontal="left" wrapText="1"/>
    </xf>
    <xf numFmtId="0" fontId="25" fillId="18" borderId="10" xfId="25" applyFont="1" applyFill="1" applyBorder="1" applyAlignment="1">
      <alignment wrapText="1"/>
    </xf>
    <xf numFmtId="0" fontId="25" fillId="18" borderId="10" xfId="25" applyFont="1" applyFill="1" applyBorder="1" applyAlignment="1">
      <alignment horizontal="center" vertical="center" wrapText="1"/>
    </xf>
    <xf numFmtId="0" fontId="25" fillId="16" borderId="10" xfId="25" applyFont="1" applyFill="1" applyBorder="1" applyAlignment="1">
      <alignment horizontal="center" wrapText="1"/>
    </xf>
    <xf numFmtId="0" fontId="42" fillId="18" borderId="10" xfId="0" applyFont="1" applyFill="1" applyBorder="1" applyAlignment="1" applyProtection="1">
      <alignment horizontal="center" wrapText="1"/>
    </xf>
    <xf numFmtId="0" fontId="28" fillId="18" borderId="10" xfId="0" applyFont="1" applyFill="1" applyBorder="1" applyAlignment="1">
      <alignment horizontal="right" vertical="center"/>
    </xf>
    <xf numFmtId="165" fontId="50" fillId="0" borderId="55" xfId="27" applyNumberFormat="1" applyFont="1" applyFill="1" applyBorder="1" applyProtection="1"/>
    <xf numFmtId="0" fontId="1" fillId="18" borderId="41" xfId="27" applyFont="1" applyFill="1" applyBorder="1" applyProtection="1">
      <protection locked="0"/>
    </xf>
    <xf numFmtId="165" fontId="1" fillId="18" borderId="41" xfId="27" applyNumberFormat="1" applyFont="1" applyFill="1" applyBorder="1" applyProtection="1">
      <protection locked="0"/>
    </xf>
    <xf numFmtId="0" fontId="1" fillId="18" borderId="50" xfId="27" applyFont="1" applyFill="1" applyBorder="1" applyProtection="1">
      <protection locked="0"/>
    </xf>
    <xf numFmtId="0" fontId="26" fillId="18" borderId="10" xfId="25" applyFont="1" applyFill="1" applyBorder="1" applyAlignment="1">
      <alignment wrapText="1"/>
    </xf>
    <xf numFmtId="0" fontId="26" fillId="18" borderId="10" xfId="25" applyFont="1" applyFill="1" applyBorder="1" applyAlignment="1">
      <alignment horizontal="left" wrapText="1"/>
    </xf>
    <xf numFmtId="0" fontId="29" fillId="0" borderId="27" xfId="0" applyFont="1" applyFill="1" applyBorder="1" applyAlignment="1" applyProtection="1">
      <alignment horizontal="left"/>
      <protection locked="0"/>
    </xf>
    <xf numFmtId="9" fontId="25" fillId="17" borderId="12" xfId="0" applyNumberFormat="1" applyFont="1" applyFill="1" applyBorder="1" applyAlignment="1">
      <alignment horizontal="center" vertical="center" textRotation="90"/>
    </xf>
    <xf numFmtId="9" fontId="25" fillId="17" borderId="11" xfId="0" applyNumberFormat="1" applyFont="1" applyFill="1" applyBorder="1" applyAlignment="1">
      <alignment horizontal="center" vertical="center" textRotation="90"/>
    </xf>
    <xf numFmtId="0" fontId="27" fillId="0" borderId="33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9" fontId="25" fillId="16" borderId="13" xfId="0" applyNumberFormat="1" applyFont="1" applyFill="1" applyBorder="1" applyAlignment="1">
      <alignment horizontal="center" vertical="center"/>
    </xf>
    <xf numFmtId="9" fontId="25" fillId="16" borderId="15" xfId="0" applyNumberFormat="1" applyFont="1" applyFill="1" applyBorder="1" applyAlignment="1">
      <alignment horizontal="center" vertical="center"/>
    </xf>
    <xf numFmtId="9" fontId="25" fillId="16" borderId="14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 wrapText="1"/>
    </xf>
    <xf numFmtId="2" fontId="27" fillId="0" borderId="15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7" fillId="15" borderId="13" xfId="0" applyFont="1" applyFill="1" applyBorder="1" applyAlignment="1">
      <alignment horizontal="center" vertical="center" wrapText="1"/>
    </xf>
    <xf numFmtId="0" fontId="27" fillId="15" borderId="1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 applyProtection="1">
      <alignment horizontal="left"/>
      <protection locked="0"/>
    </xf>
    <xf numFmtId="0" fontId="38" fillId="0" borderId="25" xfId="0" applyFont="1" applyBorder="1" applyAlignment="1" applyProtection="1">
      <alignment horizontal="left"/>
      <protection locked="0"/>
    </xf>
    <xf numFmtId="0" fontId="29" fillId="0" borderId="24" xfId="0" applyFont="1" applyFill="1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center"/>
      <protection locked="0"/>
    </xf>
    <xf numFmtId="0" fontId="33" fillId="16" borderId="0" xfId="0" applyFont="1" applyFill="1" applyAlignment="1" applyProtection="1">
      <alignment horizontal="center"/>
      <protection locked="0"/>
    </xf>
    <xf numFmtId="1" fontId="29" fillId="0" borderId="10" xfId="0" applyNumberFormat="1" applyFont="1" applyBorder="1" applyAlignment="1" applyProtection="1">
      <alignment horizontal="center" vertical="center" wrapText="1"/>
    </xf>
    <xf numFmtId="1" fontId="29" fillId="0" borderId="10" xfId="0" applyNumberFormat="1" applyFont="1" applyBorder="1" applyAlignment="1" applyProtection="1">
      <alignment horizontal="center" vertical="center"/>
    </xf>
    <xf numFmtId="165" fontId="30" fillId="16" borderId="28" xfId="0" applyNumberFormat="1" applyFont="1" applyFill="1" applyBorder="1" applyAlignment="1" applyProtection="1">
      <alignment horizontal="center" vertical="center"/>
    </xf>
    <xf numFmtId="165" fontId="30" fillId="16" borderId="23" xfId="0" applyNumberFormat="1" applyFont="1" applyFill="1" applyBorder="1" applyAlignment="1" applyProtection="1">
      <alignment horizontal="center" vertical="center"/>
    </xf>
    <xf numFmtId="165" fontId="29" fillId="16" borderId="10" xfId="0" applyNumberFormat="1" applyFont="1" applyFill="1" applyBorder="1" applyAlignment="1" applyProtection="1">
      <alignment horizontal="center" vertical="center"/>
    </xf>
    <xf numFmtId="1" fontId="29" fillId="16" borderId="10" xfId="0" applyNumberFormat="1" applyFont="1" applyFill="1" applyBorder="1" applyAlignment="1" applyProtection="1">
      <alignment horizontal="center" vertical="center"/>
    </xf>
    <xf numFmtId="0" fontId="30" fillId="0" borderId="24" xfId="0" applyFont="1" applyFill="1" applyBorder="1" applyAlignment="1" applyProtection="1">
      <alignment horizontal="center"/>
      <protection locked="0"/>
    </xf>
    <xf numFmtId="0" fontId="30" fillId="0" borderId="25" xfId="0" applyFont="1" applyFill="1" applyBorder="1" applyAlignment="1" applyProtection="1">
      <alignment horizontal="center"/>
      <protection locked="0"/>
    </xf>
    <xf numFmtId="0" fontId="29" fillId="16" borderId="24" xfId="0" applyFont="1" applyFill="1" applyBorder="1" applyAlignment="1" applyProtection="1">
      <alignment horizontal="left"/>
      <protection locked="0"/>
    </xf>
    <xf numFmtId="0" fontId="29" fillId="16" borderId="25" xfId="0" applyFont="1" applyFill="1" applyBorder="1" applyAlignment="1" applyProtection="1">
      <alignment horizontal="left"/>
      <protection locked="0"/>
    </xf>
    <xf numFmtId="0" fontId="29" fillId="16" borderId="24" xfId="0" applyFont="1" applyFill="1" applyBorder="1" applyAlignment="1" applyProtection="1">
      <alignment horizontal="left" vertical="center" wrapText="1"/>
      <protection locked="0"/>
    </xf>
    <xf numFmtId="0" fontId="29" fillId="16" borderId="25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16" borderId="29" xfId="0" applyFont="1" applyFill="1" applyBorder="1" applyAlignment="1" applyProtection="1">
      <alignment horizontal="center"/>
      <protection locked="0"/>
    </xf>
    <xf numFmtId="0" fontId="29" fillId="0" borderId="29" xfId="0" applyFont="1" applyFill="1" applyBorder="1" applyAlignment="1" applyProtection="1">
      <alignment horizontal="center"/>
      <protection locked="0"/>
    </xf>
    <xf numFmtId="0" fontId="29" fillId="16" borderId="24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3" fillId="16" borderId="12" xfId="0" applyFont="1" applyFill="1" applyBorder="1" applyAlignment="1">
      <alignment horizontal="right" vertical="center"/>
    </xf>
    <xf numFmtId="0" fontId="23" fillId="16" borderId="11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wrapText="1"/>
    </xf>
    <xf numFmtId="0" fontId="30" fillId="16" borderId="18" xfId="0" applyFont="1" applyFill="1" applyBorder="1" applyAlignment="1" applyProtection="1">
      <alignment horizontal="center"/>
      <protection locked="0"/>
    </xf>
    <xf numFmtId="0" fontId="30" fillId="0" borderId="18" xfId="0" applyFont="1" applyFill="1" applyBorder="1" applyAlignment="1" applyProtection="1">
      <alignment horizontal="center"/>
      <protection locked="0"/>
    </xf>
    <xf numFmtId="2" fontId="33" fillId="16" borderId="0" xfId="0" applyNumberFormat="1" applyFont="1" applyFill="1" applyAlignment="1" applyProtection="1">
      <alignment horizontal="center"/>
      <protection locked="0"/>
    </xf>
    <xf numFmtId="2" fontId="33" fillId="16" borderId="20" xfId="0" applyNumberFormat="1" applyFont="1" applyFill="1" applyBorder="1" applyAlignment="1" applyProtection="1">
      <alignment horizontal="center"/>
      <protection locked="0"/>
    </xf>
    <xf numFmtId="0" fontId="29" fillId="16" borderId="21" xfId="0" applyFont="1" applyFill="1" applyBorder="1" applyAlignment="1" applyProtection="1">
      <alignment horizontal="left"/>
      <protection locked="0"/>
    </xf>
    <xf numFmtId="0" fontId="29" fillId="16" borderId="22" xfId="0" applyFont="1" applyFill="1" applyBorder="1" applyAlignment="1" applyProtection="1">
      <alignment horizontal="left"/>
      <protection locked="0"/>
    </xf>
    <xf numFmtId="0" fontId="29" fillId="0" borderId="22" xfId="0" applyFont="1" applyFill="1" applyBorder="1" applyAlignment="1" applyProtection="1">
      <alignment horizontal="left"/>
      <protection locked="0"/>
    </xf>
    <xf numFmtId="0" fontId="35" fillId="16" borderId="0" xfId="0" applyFont="1" applyFill="1" applyAlignment="1" applyProtection="1">
      <alignment horizontal="left" wrapText="1"/>
      <protection locked="0"/>
    </xf>
    <xf numFmtId="0" fontId="35" fillId="16" borderId="20" xfId="0" applyFont="1" applyFill="1" applyBorder="1" applyAlignment="1" applyProtection="1">
      <alignment horizontal="left" wrapText="1"/>
      <protection locked="0"/>
    </xf>
    <xf numFmtId="1" fontId="27" fillId="0" borderId="12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0" fontId="33" fillId="16" borderId="0" xfId="0" applyFont="1" applyFill="1" applyAlignment="1" applyProtection="1">
      <alignment horizontal="left" wrapText="1"/>
      <protection locked="0"/>
    </xf>
    <xf numFmtId="0" fontId="33" fillId="16" borderId="20" xfId="0" applyFont="1" applyFill="1" applyBorder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wrapText="1"/>
      <protection locked="0"/>
    </xf>
    <xf numFmtId="0" fontId="34" fillId="0" borderId="0" xfId="0" applyFont="1" applyAlignment="1">
      <alignment wrapText="1"/>
    </xf>
    <xf numFmtId="1" fontId="29" fillId="16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/>
    </xf>
    <xf numFmtId="0" fontId="27" fillId="17" borderId="13" xfId="0" applyFont="1" applyFill="1" applyBorder="1" applyAlignment="1">
      <alignment horizontal="center" vertical="center" wrapText="1"/>
    </xf>
    <xf numFmtId="0" fontId="27" fillId="17" borderId="14" xfId="0" applyFont="1" applyFill="1" applyBorder="1" applyAlignment="1">
      <alignment horizontal="center" vertical="center" wrapText="1"/>
    </xf>
    <xf numFmtId="9" fontId="25" fillId="16" borderId="10" xfId="0" applyNumberFormat="1" applyFont="1" applyFill="1" applyBorder="1" applyAlignment="1">
      <alignment horizontal="center"/>
    </xf>
    <xf numFmtId="0" fontId="27" fillId="17" borderId="12" xfId="0" applyFont="1" applyFill="1" applyBorder="1" applyAlignment="1">
      <alignment horizontal="center" vertical="center" textRotation="90"/>
    </xf>
    <xf numFmtId="0" fontId="27" fillId="17" borderId="11" xfId="0" applyFont="1" applyFill="1" applyBorder="1" applyAlignment="1">
      <alignment horizontal="center" vertical="center" textRotation="90"/>
    </xf>
    <xf numFmtId="9" fontId="27" fillId="17" borderId="12" xfId="0" applyNumberFormat="1" applyFont="1" applyFill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/>
    </xf>
    <xf numFmtId="9" fontId="25" fillId="16" borderId="13" xfId="0" applyNumberFormat="1" applyFont="1" applyFill="1" applyBorder="1" applyAlignment="1">
      <alignment horizontal="center" wrapText="1"/>
    </xf>
    <xf numFmtId="9" fontId="25" fillId="16" borderId="14" xfId="0" applyNumberFormat="1" applyFont="1" applyFill="1" applyBorder="1" applyAlignment="1">
      <alignment horizontal="center" wrapText="1"/>
    </xf>
    <xf numFmtId="0" fontId="39" fillId="16" borderId="12" xfId="0" applyNumberFormat="1" applyFont="1" applyFill="1" applyBorder="1" applyAlignment="1" applyProtection="1">
      <alignment horizontal="left" vertical="center" wrapText="1"/>
    </xf>
    <xf numFmtId="0" fontId="39" fillId="16" borderId="11" xfId="0" applyNumberFormat="1" applyFont="1" applyFill="1" applyBorder="1" applyAlignment="1" applyProtection="1">
      <alignment horizontal="left" vertical="center" wrapText="1"/>
    </xf>
    <xf numFmtId="0" fontId="42" fillId="16" borderId="12" xfId="0" applyFont="1" applyFill="1" applyBorder="1" applyAlignment="1" applyProtection="1">
      <alignment horizontal="center" wrapText="1"/>
    </xf>
    <xf numFmtId="0" fontId="42" fillId="16" borderId="11" xfId="0" applyFont="1" applyFill="1" applyBorder="1" applyAlignment="1" applyProtection="1">
      <alignment horizontal="center" wrapText="1"/>
    </xf>
    <xf numFmtId="0" fontId="40" fillId="16" borderId="12" xfId="0" applyFont="1" applyFill="1" applyBorder="1" applyAlignment="1">
      <alignment horizontal="center" vertical="center"/>
    </xf>
    <xf numFmtId="0" fontId="40" fillId="16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9" fontId="27" fillId="16" borderId="12" xfId="0" applyNumberFormat="1" applyFont="1" applyFill="1" applyBorder="1" applyAlignment="1">
      <alignment horizontal="center" vertical="center" wrapText="1"/>
    </xf>
    <xf numFmtId="0" fontId="27" fillId="16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 textRotation="90" wrapText="1"/>
    </xf>
    <xf numFmtId="0" fontId="27" fillId="0" borderId="12" xfId="0" applyFont="1" applyFill="1" applyBorder="1" applyAlignment="1">
      <alignment horizontal="right" vertical="center" textRotation="90" wrapText="1"/>
    </xf>
    <xf numFmtId="0" fontId="27" fillId="0" borderId="11" xfId="0" applyFont="1" applyFill="1" applyBorder="1" applyAlignment="1">
      <alignment horizontal="right" vertical="center" textRotation="90" wrapText="1"/>
    </xf>
    <xf numFmtId="1" fontId="27" fillId="16" borderId="12" xfId="0" applyNumberFormat="1" applyFont="1" applyFill="1" applyBorder="1" applyAlignment="1">
      <alignment horizontal="center" vertical="center" wrapText="1"/>
    </xf>
    <xf numFmtId="1" fontId="27" fillId="16" borderId="11" xfId="0" applyNumberFormat="1" applyFont="1" applyFill="1" applyBorder="1" applyAlignment="1">
      <alignment horizontal="center" vertical="center" wrapText="1"/>
    </xf>
    <xf numFmtId="0" fontId="28" fillId="16" borderId="12" xfId="0" applyFont="1" applyFill="1" applyBorder="1" applyAlignment="1">
      <alignment horizontal="left" vertical="center"/>
    </xf>
    <xf numFmtId="0" fontId="28" fillId="16" borderId="11" xfId="0" applyFont="1" applyFill="1" applyBorder="1" applyAlignment="1">
      <alignment horizontal="left" vertical="center"/>
    </xf>
    <xf numFmtId="1" fontId="27" fillId="18" borderId="12" xfId="0" applyNumberFormat="1" applyFont="1" applyFill="1" applyBorder="1" applyAlignment="1">
      <alignment horizontal="center" vertical="center" wrapText="1"/>
    </xf>
    <xf numFmtId="1" fontId="27" fillId="18" borderId="11" xfId="0" applyNumberFormat="1" applyFont="1" applyFill="1" applyBorder="1" applyAlignment="1">
      <alignment horizontal="center" vertical="center" wrapText="1"/>
    </xf>
    <xf numFmtId="0" fontId="27" fillId="16" borderId="12" xfId="0" applyFont="1" applyFill="1" applyBorder="1" applyAlignment="1">
      <alignment horizontal="center" vertical="center" wrapText="1"/>
    </xf>
    <xf numFmtId="0" fontId="1" fillId="0" borderId="12" xfId="27" applyFill="1" applyBorder="1" applyAlignment="1" applyProtection="1">
      <alignment horizontal="right" vertical="center"/>
      <protection locked="0"/>
    </xf>
    <xf numFmtId="0" fontId="1" fillId="0" borderId="11" xfId="27" applyFill="1" applyBorder="1" applyAlignment="1" applyProtection="1">
      <alignment horizontal="right" vertical="center"/>
      <protection locked="0"/>
    </xf>
    <xf numFmtId="0" fontId="1" fillId="0" borderId="12" xfId="27" applyFill="1" applyBorder="1" applyAlignment="1" applyProtection="1">
      <alignment horizontal="left" vertical="center"/>
      <protection locked="0"/>
    </xf>
    <xf numFmtId="0" fontId="1" fillId="0" borderId="11" xfId="27" applyFill="1" applyBorder="1" applyAlignment="1" applyProtection="1">
      <alignment horizontal="left" vertical="center"/>
      <protection locked="0"/>
    </xf>
    <xf numFmtId="0" fontId="50" fillId="0" borderId="0" xfId="27" applyFont="1" applyAlignment="1" applyProtection="1">
      <alignment horizontal="center"/>
      <protection locked="0"/>
    </xf>
    <xf numFmtId="0" fontId="1" fillId="0" borderId="41" xfId="27" applyFont="1" applyFill="1" applyBorder="1" applyProtection="1"/>
    <xf numFmtId="0" fontId="1" fillId="0" borderId="41" xfId="27" applyFont="1" applyFill="1" applyBorder="1" applyAlignment="1" applyProtection="1">
      <alignment horizontal="center"/>
    </xf>
    <xf numFmtId="0" fontId="50" fillId="0" borderId="44" xfId="27" applyFont="1" applyFill="1" applyBorder="1" applyProtection="1">
      <protection locked="0"/>
    </xf>
    <xf numFmtId="0" fontId="50" fillId="0" borderId="45" xfId="27" applyFont="1" applyFill="1" applyBorder="1" applyProtection="1">
      <protection locked="0"/>
    </xf>
    <xf numFmtId="0" fontId="50" fillId="0" borderId="46" xfId="27" applyFont="1" applyFill="1" applyBorder="1" applyProtection="1">
      <protection locked="0"/>
    </xf>
    <xf numFmtId="0" fontId="1" fillId="0" borderId="0" xfId="27" applyFont="1" applyFill="1" applyBorder="1" applyAlignment="1" applyProtection="1">
      <alignment horizontal="center" vertical="center"/>
      <protection locked="0"/>
    </xf>
    <xf numFmtId="0" fontId="1" fillId="0" borderId="12" xfId="27" applyFont="1" applyFill="1" applyBorder="1" applyAlignment="1" applyProtection="1">
      <alignment horizontal="center" vertical="center"/>
      <protection locked="0"/>
    </xf>
    <xf numFmtId="0" fontId="1" fillId="0" borderId="37" xfId="27" applyFont="1" applyFill="1" applyBorder="1" applyAlignment="1" applyProtection="1">
      <alignment horizontal="center" vertical="center"/>
      <protection locked="0"/>
    </xf>
    <xf numFmtId="0" fontId="1" fillId="0" borderId="10" xfId="27" applyFill="1" applyBorder="1" applyAlignment="1" applyProtection="1">
      <alignment vertical="center"/>
      <protection locked="0"/>
    </xf>
    <xf numFmtId="0" fontId="1" fillId="0" borderId="10" xfId="27" applyFont="1" applyFill="1" applyBorder="1" applyAlignment="1" applyProtection="1">
      <alignment vertical="center"/>
      <protection locked="0"/>
    </xf>
    <xf numFmtId="0" fontId="50" fillId="0" borderId="10" xfId="27" applyFont="1" applyFill="1" applyBorder="1" applyAlignment="1" applyProtection="1">
      <alignment horizontal="right" vertical="center"/>
      <protection locked="0"/>
    </xf>
    <xf numFmtId="0" fontId="1" fillId="0" borderId="11" xfId="27" applyFont="1" applyFill="1" applyBorder="1" applyAlignment="1" applyProtection="1">
      <alignment horizontal="center" vertical="center"/>
      <protection locked="0"/>
    </xf>
    <xf numFmtId="0" fontId="1" fillId="15" borderId="10" xfId="27" applyFill="1" applyBorder="1" applyProtection="1"/>
    <xf numFmtId="0" fontId="1" fillId="15" borderId="10" xfId="27" applyFont="1" applyFill="1" applyBorder="1" applyProtection="1"/>
    <xf numFmtId="0" fontId="1" fillId="15" borderId="12" xfId="27" applyFont="1" applyFill="1" applyBorder="1" applyAlignment="1" applyProtection="1">
      <alignment horizontal="center" vertical="center"/>
      <protection locked="0"/>
    </xf>
    <xf numFmtId="0" fontId="1" fillId="15" borderId="11" xfId="27" applyFont="1" applyFill="1" applyBorder="1" applyAlignment="1" applyProtection="1">
      <alignment horizontal="center" vertical="center"/>
      <protection locked="0"/>
    </xf>
    <xf numFmtId="0" fontId="50" fillId="15" borderId="0" xfId="27" applyFont="1" applyFill="1" applyAlignment="1" applyProtection="1">
      <alignment horizontal="center"/>
      <protection locked="0"/>
    </xf>
    <xf numFmtId="0" fontId="1" fillId="0" borderId="47" xfId="27" applyFont="1" applyFill="1" applyBorder="1" applyAlignment="1" applyProtection="1">
      <alignment horizontal="center"/>
    </xf>
    <xf numFmtId="0" fontId="1" fillId="0" borderId="43" xfId="27" applyFont="1" applyFill="1" applyBorder="1" applyAlignment="1" applyProtection="1">
      <alignment horizontal="center"/>
    </xf>
    <xf numFmtId="0" fontId="1" fillId="0" borderId="47" xfId="27" applyFont="1" applyFill="1" applyBorder="1" applyProtection="1"/>
    <xf numFmtId="0" fontId="1" fillId="15" borderId="47" xfId="27" applyFont="1" applyFill="1" applyBorder="1" applyProtection="1"/>
    <xf numFmtId="0" fontId="1" fillId="15" borderId="51" xfId="27" applyFont="1" applyFill="1" applyBorder="1" applyProtection="1"/>
    <xf numFmtId="0" fontId="1" fillId="15" borderId="47" xfId="27" applyFont="1" applyFill="1" applyBorder="1" applyAlignment="1" applyProtection="1">
      <alignment wrapText="1"/>
    </xf>
    <xf numFmtId="0" fontId="1" fillId="15" borderId="43" xfId="27" applyFont="1" applyFill="1" applyBorder="1" applyAlignment="1" applyProtection="1">
      <alignment wrapText="1"/>
    </xf>
    <xf numFmtId="0" fontId="1" fillId="24" borderId="47" xfId="27" applyFill="1" applyBorder="1" applyProtection="1"/>
    <xf numFmtId="0" fontId="1" fillId="24" borderId="43" xfId="27" applyFont="1" applyFill="1" applyBorder="1" applyProtection="1"/>
    <xf numFmtId="0" fontId="1" fillId="15" borderId="41" xfId="27" applyFont="1" applyFill="1" applyBorder="1" applyAlignment="1" applyProtection="1">
      <alignment horizontal="center"/>
    </xf>
    <xf numFmtId="0" fontId="1" fillId="15" borderId="42" xfId="27" applyFont="1" applyFill="1" applyBorder="1" applyAlignment="1" applyProtection="1">
      <alignment horizontal="center"/>
    </xf>
    <xf numFmtId="0" fontId="1" fillId="15" borderId="49" xfId="27" applyFont="1" applyFill="1" applyBorder="1" applyAlignment="1" applyProtection="1">
      <alignment horizontal="center"/>
    </xf>
    <xf numFmtId="0" fontId="1" fillId="15" borderId="50" xfId="27" applyFont="1" applyFill="1" applyBorder="1" applyAlignment="1" applyProtection="1">
      <alignment horizontal="center"/>
    </xf>
    <xf numFmtId="0" fontId="1" fillId="15" borderId="42" xfId="27" applyFont="1" applyFill="1" applyBorder="1" applyProtection="1"/>
    <xf numFmtId="0" fontId="1" fillId="15" borderId="44" xfId="27" applyFont="1" applyFill="1" applyBorder="1" applyProtection="1"/>
    <xf numFmtId="0" fontId="50" fillId="0" borderId="0" xfId="27" applyFont="1" applyAlignment="1">
      <alignment horizontal="center"/>
    </xf>
    <xf numFmtId="0" fontId="50" fillId="0" borderId="10" xfId="27" applyFont="1" applyBorder="1" applyAlignment="1">
      <alignment wrapText="1"/>
    </xf>
    <xf numFmtId="0" fontId="50" fillId="0" borderId="10" xfId="27" applyFont="1" applyBorder="1" applyAlignment="1">
      <alignment horizontal="center"/>
    </xf>
    <xf numFmtId="0" fontId="25" fillId="0" borderId="36" xfId="25" applyFont="1" applyBorder="1" applyAlignment="1">
      <alignment horizontal="center"/>
    </xf>
    <xf numFmtId="0" fontId="25" fillId="16" borderId="0" xfId="25" applyFont="1" applyFill="1" applyAlignment="1">
      <alignment horizontal="center" vertical="top"/>
    </xf>
    <xf numFmtId="0" fontId="25" fillId="16" borderId="0" xfId="25" applyFont="1" applyFill="1" applyAlignment="1">
      <alignment horizontal="center" wrapText="1"/>
    </xf>
    <xf numFmtId="4" fontId="25" fillId="0" borderId="0" xfId="25" applyNumberFormat="1" applyFont="1" applyAlignment="1">
      <alignment horizontal="center"/>
    </xf>
    <xf numFmtId="0" fontId="46" fillId="0" borderId="0" xfId="25" applyFont="1" applyAlignment="1">
      <alignment horizontal="left" vertical="center" wrapText="1"/>
    </xf>
    <xf numFmtId="0" fontId="27" fillId="0" borderId="35" xfId="25" applyFont="1" applyFill="1" applyBorder="1" applyAlignment="1">
      <alignment horizontal="center" wrapText="1"/>
    </xf>
    <xf numFmtId="0" fontId="27" fillId="0" borderId="10" xfId="25" applyFont="1" applyFill="1" applyBorder="1" applyAlignment="1">
      <alignment horizontal="center" vertical="center" wrapText="1"/>
    </xf>
    <xf numFmtId="0" fontId="28" fillId="0" borderId="10" xfId="25" applyFont="1" applyFill="1" applyBorder="1" applyAlignment="1">
      <alignment horizontal="center" vertical="center" wrapText="1"/>
    </xf>
    <xf numFmtId="0" fontId="27" fillId="0" borderId="12" xfId="25" applyFont="1" applyFill="1" applyBorder="1" applyAlignment="1">
      <alignment horizontal="center" vertical="center" wrapText="1"/>
    </xf>
    <xf numFmtId="0" fontId="27" fillId="0" borderId="37" xfId="25" applyFont="1" applyFill="1" applyBorder="1" applyAlignment="1">
      <alignment horizontal="center" vertical="center" wrapText="1"/>
    </xf>
    <xf numFmtId="0" fontId="27" fillId="0" borderId="11" xfId="25" applyFont="1" applyFill="1" applyBorder="1" applyAlignment="1">
      <alignment horizontal="center" vertical="center" wrapText="1"/>
    </xf>
    <xf numFmtId="0" fontId="27" fillId="16" borderId="12" xfId="25" applyFont="1" applyFill="1" applyBorder="1" applyAlignment="1">
      <alignment horizontal="center" vertical="center" wrapText="1"/>
    </xf>
    <xf numFmtId="0" fontId="27" fillId="16" borderId="37" xfId="25" applyFont="1" applyFill="1" applyBorder="1" applyAlignment="1">
      <alignment horizontal="center" vertical="center" wrapText="1"/>
    </xf>
    <xf numFmtId="0" fontId="27" fillId="16" borderId="11" xfId="25" applyFont="1" applyFill="1" applyBorder="1" applyAlignment="1">
      <alignment horizontal="center" vertical="center" wrapText="1"/>
    </xf>
    <xf numFmtId="0" fontId="27" fillId="0" borderId="32" xfId="25" applyFont="1" applyFill="1" applyBorder="1" applyAlignment="1">
      <alignment horizontal="center" vertical="center" wrapText="1"/>
    </xf>
    <xf numFmtId="0" fontId="27" fillId="0" borderId="38" xfId="25" applyFont="1" applyFill="1" applyBorder="1" applyAlignment="1">
      <alignment horizontal="center" vertical="center" wrapText="1"/>
    </xf>
    <xf numFmtId="0" fontId="27" fillId="0" borderId="39" xfId="25" applyFont="1" applyFill="1" applyBorder="1" applyAlignment="1">
      <alignment horizontal="center" vertical="center" wrapText="1"/>
    </xf>
    <xf numFmtId="0" fontId="27" fillId="18" borderId="10" xfId="25" applyFont="1" applyFill="1" applyBorder="1" applyAlignment="1">
      <alignment horizontal="center" vertical="center" wrapText="1"/>
    </xf>
    <xf numFmtId="0" fontId="27" fillId="0" borderId="10" xfId="25" applyFont="1" applyFill="1" applyBorder="1" applyAlignment="1" applyProtection="1">
      <alignment horizontal="center" vertical="center" wrapText="1"/>
    </xf>
    <xf numFmtId="10" fontId="27" fillId="0" borderId="10" xfId="25" applyNumberFormat="1" applyFont="1" applyFill="1" applyBorder="1" applyAlignment="1">
      <alignment horizontal="center" vertical="center" wrapText="1"/>
    </xf>
    <xf numFmtId="0" fontId="27" fillId="0" borderId="13" xfId="25" applyFont="1" applyFill="1" applyBorder="1" applyAlignment="1" applyProtection="1">
      <alignment horizontal="center" vertical="center" wrapText="1"/>
    </xf>
    <xf numFmtId="0" fontId="27" fillId="0" borderId="14" xfId="25" applyFont="1" applyFill="1" applyBorder="1" applyAlignment="1" applyProtection="1">
      <alignment horizontal="center" vertical="center" wrapText="1"/>
    </xf>
    <xf numFmtId="0" fontId="27" fillId="0" borderId="0" xfId="25" applyFont="1" applyBorder="1" applyAlignment="1" applyProtection="1">
      <alignment horizontal="center"/>
      <protection locked="0"/>
    </xf>
    <xf numFmtId="0" fontId="27" fillId="0" borderId="0" xfId="25" applyFont="1" applyBorder="1" applyAlignment="1" applyProtection="1">
      <protection locked="0"/>
    </xf>
    <xf numFmtId="0" fontId="27" fillId="0" borderId="20" xfId="25" applyFont="1" applyFill="1" applyBorder="1" applyAlignment="1">
      <alignment horizontal="center" vertical="center" wrapText="1"/>
    </xf>
    <xf numFmtId="0" fontId="27" fillId="0" borderId="40" xfId="25" applyFont="1" applyFill="1" applyBorder="1" applyAlignment="1">
      <alignment horizontal="center" vertical="center" wrapText="1"/>
    </xf>
    <xf numFmtId="0" fontId="27" fillId="0" borderId="34" xfId="25" applyFont="1" applyFill="1" applyBorder="1" applyAlignment="1">
      <alignment horizontal="center" vertical="center" wrapText="1"/>
    </xf>
    <xf numFmtId="0" fontId="28" fillId="0" borderId="13" xfId="25" applyFont="1" applyFill="1" applyBorder="1" applyAlignment="1">
      <alignment horizontal="center" vertical="center" wrapText="1"/>
    </xf>
    <xf numFmtId="0" fontId="28" fillId="0" borderId="15" xfId="25" applyFont="1" applyFill="1" applyBorder="1" applyAlignment="1">
      <alignment horizontal="center" vertical="center" wrapText="1"/>
    </xf>
    <xf numFmtId="0" fontId="28" fillId="0" borderId="14" xfId="25" applyFont="1" applyFill="1" applyBorder="1" applyAlignment="1">
      <alignment horizontal="center" vertical="center" wrapText="1"/>
    </xf>
  </cellXfs>
  <cellStyles count="2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25"/>
    <cellStyle name="Обычный 3" xfId="27"/>
    <cellStyle name="Обычный_Берсуат Ал 01,01,2009" xfId="28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Финансовый 2" xfId="26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2"/>
  <sheetViews>
    <sheetView view="pageBreakPreview" topLeftCell="A35" zoomScale="55" zoomScaleSheetLayoutView="55" workbookViewId="0">
      <pane xSplit="15" ySplit="8" topLeftCell="Y58" activePane="bottomRight" state="frozen"/>
      <selection activeCell="A35" sqref="A35"/>
      <selection pane="topRight" activeCell="P35" sqref="P35"/>
      <selection pane="bottomLeft" activeCell="A43" sqref="A43"/>
      <selection pane="bottomRight" activeCell="AB64" sqref="AB64"/>
    </sheetView>
  </sheetViews>
  <sheetFormatPr defaultColWidth="9.140625" defaultRowHeight="18"/>
  <cols>
    <col min="1" max="1" width="5.42578125" style="1" customWidth="1"/>
    <col min="2" max="2" width="34.5703125" style="1" customWidth="1"/>
    <col min="3" max="3" width="20" style="1" customWidth="1"/>
    <col min="4" max="4" width="14" style="1" customWidth="1"/>
    <col min="5" max="5" width="21.42578125" style="27" customWidth="1"/>
    <col min="6" max="6" width="13.7109375" style="27" customWidth="1"/>
    <col min="7" max="7" width="9" style="27" customWidth="1"/>
    <col min="8" max="8" width="11.140625" style="27" customWidth="1"/>
    <col min="9" max="12" width="14.85546875" style="2" customWidth="1"/>
    <col min="13" max="13" width="10.42578125" style="1" customWidth="1"/>
    <col min="14" max="14" width="10.28515625" style="1" customWidth="1"/>
    <col min="15" max="15" width="14.140625" style="1" customWidth="1"/>
    <col min="16" max="16" width="15.28515625" style="1" customWidth="1"/>
    <col min="17" max="17" width="14" style="1" customWidth="1"/>
    <col min="18" max="18" width="14.42578125" style="1" customWidth="1"/>
    <col min="19" max="19" width="14.7109375" style="1" customWidth="1"/>
    <col min="20" max="20" width="12" style="1" customWidth="1"/>
    <col min="21" max="21" width="13.28515625" style="1" customWidth="1"/>
    <col min="22" max="22" width="13.5703125" style="1" customWidth="1"/>
    <col min="23" max="23" width="17" style="1" customWidth="1"/>
    <col min="24" max="24" width="12" style="1" customWidth="1"/>
    <col min="25" max="26" width="13.5703125" style="1" customWidth="1"/>
    <col min="27" max="27" width="13" style="1" customWidth="1"/>
    <col min="28" max="29" width="15" style="1" customWidth="1"/>
    <col min="30" max="30" width="14.28515625" style="1" customWidth="1"/>
    <col min="31" max="31" width="13.7109375" style="1" customWidth="1"/>
    <col min="32" max="32" width="12.5703125" style="1" customWidth="1"/>
    <col min="33" max="33" width="13" style="1" customWidth="1"/>
    <col min="34" max="34" width="13.42578125" style="1" customWidth="1"/>
    <col min="35" max="35" width="17.5703125" style="1" customWidth="1"/>
    <col min="36" max="36" width="9.140625" style="1"/>
    <col min="37" max="37" width="19.85546875" style="1" customWidth="1"/>
    <col min="38" max="38" width="11.28515625" style="1" bestFit="1" customWidth="1"/>
    <col min="39" max="39" width="9.140625" style="1"/>
    <col min="40" max="40" width="12.28515625" style="1" customWidth="1"/>
    <col min="41" max="41" width="15.85546875" style="1" customWidth="1"/>
    <col min="42" max="16384" width="9.140625" style="1"/>
  </cols>
  <sheetData>
    <row r="1" spans="1:41" s="69" customFormat="1" ht="33.75" customHeight="1" thickBot="1">
      <c r="A1" s="66"/>
      <c r="B1" s="66"/>
      <c r="C1" s="66"/>
      <c r="D1" s="66"/>
      <c r="E1" s="66"/>
      <c r="F1" s="66"/>
      <c r="G1" s="66"/>
      <c r="H1" s="66"/>
      <c r="I1" s="67"/>
      <c r="J1" s="66"/>
      <c r="K1" s="68"/>
      <c r="L1" s="68"/>
      <c r="O1" s="70"/>
      <c r="P1" s="66"/>
      <c r="Q1" s="71"/>
      <c r="R1" s="72"/>
      <c r="S1" s="73"/>
      <c r="T1" s="74"/>
      <c r="U1" s="75"/>
      <c r="V1" s="75"/>
      <c r="W1" s="76"/>
      <c r="X1" s="76"/>
      <c r="Y1" s="75"/>
      <c r="Z1" s="75"/>
      <c r="AA1" s="75"/>
      <c r="AB1" s="75"/>
      <c r="AC1" s="75"/>
      <c r="AD1" s="75"/>
      <c r="AE1" s="75"/>
      <c r="AF1" s="77"/>
      <c r="AG1" s="75"/>
      <c r="AH1" s="75"/>
      <c r="AI1" s="75"/>
      <c r="AJ1" s="66"/>
      <c r="AK1" s="66"/>
      <c r="AL1" s="66"/>
      <c r="AM1" s="66"/>
      <c r="AN1" s="75"/>
      <c r="AO1" s="66"/>
    </row>
    <row r="2" spans="1:41" s="69" customFormat="1" ht="33" customHeight="1">
      <c r="A2" s="66"/>
      <c r="B2" s="78"/>
      <c r="C2" s="78"/>
      <c r="D2" s="78"/>
      <c r="E2" s="79"/>
      <c r="F2" s="79"/>
      <c r="G2" s="78" t="s">
        <v>54</v>
      </c>
      <c r="H2" s="78"/>
      <c r="I2" s="78"/>
      <c r="J2" s="80"/>
      <c r="K2" s="80"/>
      <c r="L2" s="80"/>
      <c r="M2" s="80"/>
      <c r="N2" s="80"/>
      <c r="O2" s="80"/>
      <c r="P2" s="81"/>
      <c r="Q2" s="80"/>
      <c r="R2" s="82"/>
      <c r="S2" s="80"/>
      <c r="T2" s="80"/>
      <c r="U2" s="82"/>
      <c r="V2" s="83" t="s">
        <v>55</v>
      </c>
      <c r="W2" s="84"/>
      <c r="X2" s="472" t="s">
        <v>56</v>
      </c>
      <c r="Y2" s="472"/>
      <c r="Z2" s="472"/>
      <c r="AA2" s="472"/>
      <c r="AB2" s="472"/>
      <c r="AC2" s="472"/>
      <c r="AD2" s="472"/>
      <c r="AE2" s="472"/>
      <c r="AF2" s="473"/>
      <c r="AG2" s="472"/>
      <c r="AH2" s="472"/>
      <c r="AI2" s="472"/>
      <c r="AJ2" s="472"/>
      <c r="AK2" s="85" t="s">
        <v>57</v>
      </c>
      <c r="AL2" s="85" t="s">
        <v>0</v>
      </c>
      <c r="AM2" s="86" t="s">
        <v>1</v>
      </c>
      <c r="AN2" s="87" t="s">
        <v>2</v>
      </c>
      <c r="AO2" s="88" t="s">
        <v>58</v>
      </c>
    </row>
    <row r="3" spans="1:41" s="69" customFormat="1" ht="31.5" customHeight="1">
      <c r="A3" s="66"/>
      <c r="B3" s="79"/>
      <c r="C3" s="79"/>
      <c r="D3" s="79"/>
      <c r="E3" s="79"/>
      <c r="F3" s="79"/>
      <c r="G3" s="79"/>
      <c r="H3" s="79"/>
      <c r="I3" s="79"/>
      <c r="J3" s="80"/>
      <c r="K3" s="80"/>
      <c r="L3" s="80"/>
      <c r="M3" s="80"/>
      <c r="N3" s="80"/>
      <c r="O3" s="80"/>
      <c r="P3" s="82"/>
      <c r="Q3" s="80"/>
      <c r="R3" s="474"/>
      <c r="S3" s="474"/>
      <c r="T3" s="474"/>
      <c r="U3" s="475"/>
      <c r="V3" s="89">
        <v>1</v>
      </c>
      <c r="W3" s="89"/>
      <c r="X3" s="476" t="s">
        <v>59</v>
      </c>
      <c r="Y3" s="477"/>
      <c r="Z3" s="477"/>
      <c r="AA3" s="477"/>
      <c r="AB3" s="477"/>
      <c r="AC3" s="477"/>
      <c r="AD3" s="477"/>
      <c r="AE3" s="477"/>
      <c r="AF3" s="478"/>
      <c r="AG3" s="477"/>
      <c r="AH3" s="477"/>
      <c r="AI3" s="477"/>
      <c r="AJ3" s="477"/>
      <c r="AK3" s="90"/>
      <c r="AL3" s="90">
        <v>8</v>
      </c>
      <c r="AM3" s="91">
        <v>10</v>
      </c>
      <c r="AN3" s="92"/>
      <c r="AO3" s="93">
        <f>AN3+AM3+AL3</f>
        <v>18</v>
      </c>
    </row>
    <row r="4" spans="1:41" s="69" customFormat="1" ht="54.75" customHeight="1">
      <c r="A4" s="66"/>
      <c r="B4" s="79"/>
      <c r="C4" s="79"/>
      <c r="D4" s="79"/>
      <c r="E4" s="79"/>
      <c r="F4" s="79"/>
      <c r="G4" s="94"/>
      <c r="H4" s="94"/>
      <c r="I4" s="94"/>
      <c r="J4" s="79"/>
      <c r="K4" s="80"/>
      <c r="L4" s="80"/>
      <c r="M4" s="80"/>
      <c r="N4" s="80"/>
      <c r="O4" s="80"/>
      <c r="P4" s="479"/>
      <c r="Q4" s="479"/>
      <c r="R4" s="479"/>
      <c r="S4" s="479"/>
      <c r="T4" s="479"/>
      <c r="U4" s="480"/>
      <c r="V4" s="89">
        <v>2</v>
      </c>
      <c r="W4" s="89"/>
      <c r="X4" s="460" t="s">
        <v>60</v>
      </c>
      <c r="Y4" s="461"/>
      <c r="Z4" s="461"/>
      <c r="AA4" s="461"/>
      <c r="AB4" s="461"/>
      <c r="AC4" s="461"/>
      <c r="AD4" s="461"/>
      <c r="AE4" s="461"/>
      <c r="AF4" s="447"/>
      <c r="AG4" s="461"/>
      <c r="AH4" s="461"/>
      <c r="AI4" s="461"/>
      <c r="AJ4" s="461"/>
      <c r="AK4" s="95"/>
      <c r="AL4" s="95">
        <v>6</v>
      </c>
      <c r="AM4" s="96">
        <v>6</v>
      </c>
      <c r="AN4" s="97"/>
      <c r="AO4" s="98">
        <f>SUM(AK4:AN4)</f>
        <v>12</v>
      </c>
    </row>
    <row r="5" spans="1:41" s="69" customFormat="1" ht="78.75" customHeight="1">
      <c r="A5" s="66"/>
      <c r="B5" s="485"/>
      <c r="C5" s="485"/>
      <c r="D5" s="485"/>
      <c r="E5" s="485"/>
      <c r="F5" s="485"/>
      <c r="G5" s="486" t="s">
        <v>119</v>
      </c>
      <c r="H5" s="487"/>
      <c r="I5" s="487"/>
      <c r="J5" s="487"/>
      <c r="K5" s="487"/>
      <c r="L5" s="487"/>
      <c r="M5" s="487"/>
      <c r="N5" s="487"/>
      <c r="O5" s="487"/>
      <c r="P5" s="99"/>
      <c r="Q5" s="99"/>
      <c r="R5" s="99"/>
      <c r="S5" s="99"/>
      <c r="T5" s="99"/>
      <c r="U5" s="82"/>
      <c r="V5" s="89">
        <v>3</v>
      </c>
      <c r="W5" s="89"/>
      <c r="X5" s="460" t="s">
        <v>61</v>
      </c>
      <c r="Y5" s="461"/>
      <c r="Z5" s="461"/>
      <c r="AA5" s="461"/>
      <c r="AB5" s="461"/>
      <c r="AC5" s="461"/>
      <c r="AD5" s="461"/>
      <c r="AE5" s="461"/>
      <c r="AF5" s="447"/>
      <c r="AG5" s="461"/>
      <c r="AH5" s="461"/>
      <c r="AI5" s="461"/>
      <c r="AJ5" s="461"/>
      <c r="AK5" s="100"/>
      <c r="AL5" s="100">
        <v>40</v>
      </c>
      <c r="AM5" s="101">
        <v>37</v>
      </c>
      <c r="AN5" s="102"/>
      <c r="AO5" s="103">
        <f>AN5+AM5+AL5</f>
        <v>77</v>
      </c>
    </row>
    <row r="6" spans="1:41" s="69" customFormat="1" ht="30" customHeight="1">
      <c r="A6" s="66"/>
      <c r="B6" s="79"/>
      <c r="C6" s="79"/>
      <c r="D6" s="79"/>
      <c r="E6" s="79"/>
      <c r="F6" s="79"/>
      <c r="G6" s="79"/>
      <c r="H6" s="79"/>
      <c r="I6" s="79"/>
      <c r="J6" s="80"/>
      <c r="K6" s="104"/>
      <c r="L6" s="104"/>
      <c r="M6" s="104"/>
      <c r="N6" s="80"/>
      <c r="O6" s="80"/>
      <c r="P6" s="82"/>
      <c r="Q6" s="80"/>
      <c r="R6" s="80"/>
      <c r="S6" s="80"/>
      <c r="T6" s="80"/>
      <c r="U6" s="82"/>
      <c r="V6" s="488">
        <v>4</v>
      </c>
      <c r="W6" s="105"/>
      <c r="X6" s="462" t="s">
        <v>62</v>
      </c>
      <c r="Y6" s="463"/>
      <c r="Z6" s="463"/>
      <c r="AA6" s="463"/>
      <c r="AB6" s="463"/>
      <c r="AC6" s="463"/>
      <c r="AD6" s="463"/>
      <c r="AE6" s="463"/>
      <c r="AF6" s="464"/>
      <c r="AG6" s="463"/>
      <c r="AH6" s="463"/>
      <c r="AI6" s="463"/>
      <c r="AJ6" s="463"/>
      <c r="AK6" s="457"/>
      <c r="AL6" s="456">
        <v>149.5</v>
      </c>
      <c r="AM6" s="452">
        <v>196</v>
      </c>
      <c r="AN6" s="453"/>
      <c r="AO6" s="454">
        <f>AK6+AL6+AM6+AN6</f>
        <v>345.5</v>
      </c>
    </row>
    <row r="7" spans="1:41" s="69" customFormat="1" ht="59.25" customHeight="1">
      <c r="A7" s="66"/>
      <c r="B7" s="450"/>
      <c r="C7" s="450"/>
      <c r="D7" s="450"/>
      <c r="E7" s="450"/>
      <c r="F7" s="450"/>
      <c r="G7" s="451" t="s">
        <v>129</v>
      </c>
      <c r="H7" s="451"/>
      <c r="I7" s="451"/>
      <c r="J7" s="451"/>
      <c r="K7" s="451"/>
      <c r="L7" s="451"/>
      <c r="M7" s="451"/>
      <c r="N7" s="451"/>
      <c r="O7" s="451"/>
      <c r="P7" s="483"/>
      <c r="Q7" s="483"/>
      <c r="R7" s="483"/>
      <c r="S7" s="483"/>
      <c r="T7" s="483"/>
      <c r="U7" s="484"/>
      <c r="V7" s="488"/>
      <c r="W7" s="105"/>
      <c r="X7" s="462"/>
      <c r="Y7" s="463"/>
      <c r="Z7" s="463"/>
      <c r="AA7" s="463"/>
      <c r="AB7" s="463"/>
      <c r="AC7" s="463"/>
      <c r="AD7" s="463"/>
      <c r="AE7" s="463"/>
      <c r="AF7" s="464"/>
      <c r="AG7" s="463"/>
      <c r="AH7" s="463"/>
      <c r="AI7" s="463"/>
      <c r="AJ7" s="463"/>
      <c r="AK7" s="457"/>
      <c r="AL7" s="456"/>
      <c r="AM7" s="452"/>
      <c r="AN7" s="453"/>
      <c r="AO7" s="455"/>
    </row>
    <row r="8" spans="1:41" s="69" customFormat="1" ht="27" customHeight="1">
      <c r="A8" s="66"/>
      <c r="B8" s="79"/>
      <c r="C8" s="79"/>
      <c r="D8" s="79"/>
      <c r="E8" s="79"/>
      <c r="F8" s="79"/>
      <c r="G8" s="94"/>
      <c r="H8" s="94"/>
      <c r="I8" s="106"/>
      <c r="J8" s="80"/>
      <c r="K8" s="80"/>
      <c r="L8" s="80"/>
      <c r="M8" s="80"/>
      <c r="N8" s="80"/>
      <c r="O8" s="80"/>
      <c r="P8" s="107"/>
      <c r="Q8" s="107"/>
      <c r="R8" s="108" t="s">
        <v>118</v>
      </c>
      <c r="S8" s="80"/>
      <c r="T8" s="80"/>
      <c r="U8" s="109"/>
      <c r="V8" s="110"/>
      <c r="W8" s="110"/>
      <c r="X8" s="465" t="s">
        <v>63</v>
      </c>
      <c r="Y8" s="465"/>
      <c r="Z8" s="465"/>
      <c r="AA8" s="465"/>
      <c r="AB8" s="465"/>
      <c r="AC8" s="465"/>
      <c r="AD8" s="465"/>
      <c r="AE8" s="465"/>
      <c r="AF8" s="466"/>
      <c r="AG8" s="465"/>
      <c r="AH8" s="465"/>
      <c r="AI8" s="465"/>
      <c r="AJ8" s="467"/>
      <c r="AK8" s="90"/>
      <c r="AL8" s="90"/>
      <c r="AM8" s="111"/>
      <c r="AN8" s="92"/>
      <c r="AO8" s="112">
        <f>AN8+AM8+AL8</f>
        <v>0</v>
      </c>
    </row>
    <row r="9" spans="1:41" s="69" customFormat="1" ht="27" customHeight="1">
      <c r="A9" s="66"/>
      <c r="B9" s="79"/>
      <c r="C9" s="79"/>
      <c r="D9" s="79"/>
      <c r="E9" s="79"/>
      <c r="F9" s="80"/>
      <c r="G9" s="80"/>
      <c r="H9" s="80"/>
      <c r="I9" s="80"/>
      <c r="J9" s="80"/>
      <c r="K9" s="80"/>
      <c r="L9" s="80"/>
      <c r="M9" s="80"/>
      <c r="N9" s="79"/>
      <c r="O9" s="113"/>
      <c r="P9" s="114"/>
      <c r="Q9" s="79"/>
      <c r="R9" s="80"/>
      <c r="S9" s="80"/>
      <c r="T9" s="80"/>
      <c r="U9" s="82"/>
      <c r="V9" s="89" t="s">
        <v>64</v>
      </c>
      <c r="W9" s="89"/>
      <c r="X9" s="460" t="s">
        <v>65</v>
      </c>
      <c r="Y9" s="461"/>
      <c r="Z9" s="461"/>
      <c r="AA9" s="461"/>
      <c r="AB9" s="461"/>
      <c r="AC9" s="461"/>
      <c r="AD9" s="461"/>
      <c r="AE9" s="461"/>
      <c r="AF9" s="447"/>
      <c r="AG9" s="461"/>
      <c r="AH9" s="461"/>
      <c r="AI9" s="461"/>
      <c r="AJ9" s="461"/>
      <c r="AK9" s="95"/>
      <c r="AL9" s="243">
        <v>146.5</v>
      </c>
      <c r="AM9" s="96">
        <v>192</v>
      </c>
      <c r="AN9" s="97"/>
      <c r="AO9" s="115">
        <f>AN9+AM9+AL9</f>
        <v>338.5</v>
      </c>
    </row>
    <row r="10" spans="1:41" s="69" customFormat="1" ht="28.5" customHeight="1">
      <c r="A10" s="66"/>
      <c r="B10" s="79"/>
      <c r="C10" s="79"/>
      <c r="D10" s="79"/>
      <c r="E10" s="79"/>
      <c r="F10" s="116"/>
      <c r="G10" s="116"/>
      <c r="H10" s="116"/>
      <c r="I10" s="116"/>
      <c r="J10" s="116"/>
      <c r="K10" s="116"/>
      <c r="L10" s="116"/>
      <c r="M10" s="117"/>
      <c r="N10" s="118"/>
      <c r="O10" s="119"/>
      <c r="P10" s="118"/>
      <c r="Q10" s="118"/>
      <c r="R10" s="117"/>
      <c r="S10" s="117"/>
      <c r="T10" s="120"/>
      <c r="U10" s="120"/>
      <c r="V10" s="121" t="s">
        <v>66</v>
      </c>
      <c r="W10" s="121"/>
      <c r="X10" s="449" t="s">
        <v>67</v>
      </c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122">
        <v>0</v>
      </c>
      <c r="AL10" s="122">
        <v>3</v>
      </c>
      <c r="AM10" s="122">
        <v>4</v>
      </c>
      <c r="AN10" s="122"/>
      <c r="AO10" s="115">
        <f>AN10+AM10+AL10</f>
        <v>7</v>
      </c>
    </row>
    <row r="11" spans="1:41" s="69" customFormat="1" ht="33.75" customHeight="1">
      <c r="A11" s="66"/>
      <c r="B11" s="66"/>
      <c r="C11" s="66"/>
      <c r="D11" s="66"/>
      <c r="E11" s="66"/>
      <c r="M11" s="123"/>
      <c r="N11" s="124"/>
      <c r="O11" s="125"/>
      <c r="P11" s="124"/>
      <c r="Q11" s="124"/>
      <c r="R11" s="124"/>
      <c r="S11" s="124"/>
      <c r="T11" s="77"/>
      <c r="U11" s="77"/>
      <c r="V11" s="126"/>
      <c r="W11" s="126"/>
      <c r="X11" s="458" t="s">
        <v>58</v>
      </c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127"/>
      <c r="AL11" s="244">
        <f>SUBTOTAL(9,AL9:AL10)</f>
        <v>149.5</v>
      </c>
      <c r="AM11" s="128">
        <f>SUBTOTAL(9,AM9:AM10)</f>
        <v>196</v>
      </c>
      <c r="AN11" s="129">
        <f>SUBTOTAL(9,AN9:AN10)</f>
        <v>0</v>
      </c>
      <c r="AO11" s="115">
        <f>SUBTOTAL(9,AO9:AO10)</f>
        <v>345.5</v>
      </c>
    </row>
    <row r="12" spans="1:41" s="69" customFormat="1" ht="20.25" customHeight="1">
      <c r="A12" s="66"/>
      <c r="B12" s="66"/>
      <c r="C12" s="66"/>
      <c r="D12" s="66"/>
      <c r="E12" s="130"/>
      <c r="M12" s="124"/>
      <c r="N12" s="124"/>
      <c r="O12" s="77"/>
      <c r="P12" s="124"/>
      <c r="Q12" s="124"/>
      <c r="R12" s="124"/>
      <c r="S12" s="124"/>
      <c r="T12" s="77"/>
      <c r="U12" s="77"/>
      <c r="V12" s="121">
        <v>1</v>
      </c>
      <c r="W12" s="121"/>
      <c r="X12" s="449" t="s">
        <v>32</v>
      </c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131"/>
      <c r="AL12" s="131"/>
      <c r="AM12" s="132"/>
      <c r="AN12" s="133"/>
      <c r="AO12" s="134"/>
    </row>
    <row r="13" spans="1:41" s="69" customFormat="1" ht="15.75" customHeight="1">
      <c r="A13" s="66"/>
      <c r="B13" s="66"/>
      <c r="C13" s="66"/>
      <c r="D13" s="66"/>
      <c r="E13" s="66"/>
      <c r="M13" s="123"/>
      <c r="N13" s="123"/>
      <c r="O13" s="77"/>
      <c r="P13" s="123"/>
      <c r="Q13" s="123"/>
      <c r="R13" s="123"/>
      <c r="S13" s="123"/>
      <c r="T13" s="77"/>
      <c r="U13" s="77"/>
      <c r="V13" s="121">
        <v>2</v>
      </c>
      <c r="W13" s="121"/>
      <c r="X13" s="449" t="s">
        <v>68</v>
      </c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131"/>
      <c r="AL13" s="131"/>
      <c r="AM13" s="132"/>
      <c r="AN13" s="133"/>
      <c r="AO13" s="134"/>
    </row>
    <row r="14" spans="1:41" s="69" customFormat="1" ht="16.5" customHeight="1">
      <c r="A14" s="66"/>
      <c r="B14" s="66"/>
      <c r="C14" s="66"/>
      <c r="D14" s="66"/>
      <c r="E14" s="66"/>
      <c r="F14" s="124"/>
      <c r="G14" s="124"/>
      <c r="H14" s="124"/>
      <c r="I14" s="124"/>
      <c r="J14" s="124"/>
      <c r="K14" s="124"/>
      <c r="L14" s="124"/>
      <c r="M14" s="123"/>
      <c r="N14" s="135"/>
      <c r="O14" s="136"/>
      <c r="P14" s="135"/>
      <c r="Q14" s="135"/>
      <c r="R14" s="123"/>
      <c r="S14" s="123"/>
      <c r="T14" s="77"/>
      <c r="U14" s="77"/>
      <c r="V14" s="121">
        <v>3</v>
      </c>
      <c r="W14" s="121"/>
      <c r="X14" s="449" t="s">
        <v>69</v>
      </c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131"/>
      <c r="AL14" s="131"/>
      <c r="AM14" s="132"/>
      <c r="AN14" s="133"/>
      <c r="AO14" s="134"/>
    </row>
    <row r="15" spans="1:41" s="69" customFormat="1" ht="27.75" customHeight="1">
      <c r="A15" s="66"/>
      <c r="B15" s="66"/>
      <c r="C15" s="66"/>
      <c r="D15" s="66"/>
      <c r="E15" s="66"/>
      <c r="F15" s="135" t="s">
        <v>70</v>
      </c>
      <c r="G15" s="135"/>
      <c r="H15" s="135"/>
      <c r="I15" s="135"/>
      <c r="J15" s="135"/>
      <c r="K15" s="135"/>
      <c r="L15" s="123"/>
      <c r="M15" s="124"/>
      <c r="N15" s="124"/>
      <c r="O15" s="125"/>
      <c r="P15" s="135"/>
      <c r="Q15" s="135"/>
      <c r="R15" s="123"/>
      <c r="S15" s="123"/>
      <c r="T15" s="77"/>
      <c r="U15" s="77"/>
      <c r="V15" s="121">
        <v>4</v>
      </c>
      <c r="W15" s="121"/>
      <c r="X15" s="449" t="s">
        <v>71</v>
      </c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131"/>
      <c r="AL15" s="131"/>
      <c r="AM15" s="132"/>
      <c r="AN15" s="133"/>
      <c r="AO15" s="134"/>
    </row>
    <row r="16" spans="1:41" s="69" customFormat="1" ht="27" customHeight="1">
      <c r="A16" s="66"/>
      <c r="B16" s="66"/>
      <c r="C16" s="66"/>
      <c r="D16" s="66"/>
      <c r="E16" s="66"/>
      <c r="F16" s="137"/>
      <c r="G16" s="138" t="s">
        <v>72</v>
      </c>
      <c r="H16" s="137"/>
      <c r="I16" s="137"/>
      <c r="J16" s="137"/>
      <c r="K16" s="124"/>
      <c r="L16" s="124"/>
      <c r="M16" s="139"/>
      <c r="N16" s="139"/>
      <c r="O16" s="139"/>
      <c r="P16" s="139"/>
      <c r="Q16" s="139"/>
      <c r="R16" s="135"/>
      <c r="S16" s="135"/>
      <c r="T16" s="77"/>
      <c r="U16" s="77"/>
      <c r="V16" s="121">
        <v>5</v>
      </c>
      <c r="W16" s="140"/>
      <c r="X16" s="447" t="s">
        <v>73</v>
      </c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131"/>
      <c r="AL16" s="131"/>
      <c r="AM16" s="132"/>
      <c r="AN16" s="133"/>
      <c r="AO16" s="134"/>
    </row>
    <row r="17" spans="1:41" s="69" customFormat="1" ht="18" customHeight="1">
      <c r="A17" s="66"/>
      <c r="B17" s="66"/>
      <c r="C17" s="66"/>
      <c r="D17" s="66"/>
      <c r="E17" s="66"/>
      <c r="F17" s="124"/>
      <c r="G17" s="124"/>
      <c r="H17" s="124"/>
      <c r="I17" s="124"/>
      <c r="J17" s="124"/>
      <c r="K17" s="124"/>
      <c r="L17" s="124"/>
      <c r="M17" s="123"/>
      <c r="N17" s="123"/>
      <c r="O17" s="77"/>
      <c r="P17" s="123"/>
      <c r="Q17" s="123"/>
      <c r="R17" s="123"/>
      <c r="S17" s="123"/>
      <c r="T17" s="77"/>
      <c r="U17" s="77"/>
      <c r="V17" s="121">
        <v>6</v>
      </c>
      <c r="W17" s="141"/>
      <c r="X17" s="447" t="s">
        <v>74</v>
      </c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131"/>
      <c r="AL17" s="131"/>
      <c r="AM17" s="132"/>
      <c r="AN17" s="133"/>
      <c r="AO17" s="134"/>
    </row>
    <row r="18" spans="1:41" s="69" customFormat="1" ht="18" customHeight="1">
      <c r="A18" s="66"/>
      <c r="B18" s="66"/>
      <c r="C18" s="66"/>
      <c r="D18" s="66"/>
      <c r="E18" s="66"/>
      <c r="F18" s="123"/>
      <c r="G18" s="123"/>
      <c r="H18" s="123"/>
      <c r="I18" s="123"/>
      <c r="J18" s="123"/>
      <c r="K18" s="123"/>
      <c r="L18" s="123"/>
      <c r="M18" s="123"/>
      <c r="N18" s="123"/>
      <c r="O18" s="77"/>
      <c r="P18" s="123"/>
      <c r="Q18" s="123"/>
      <c r="R18" s="123"/>
      <c r="S18" s="123"/>
      <c r="T18" s="77"/>
      <c r="U18" s="77"/>
      <c r="V18" s="121">
        <v>7</v>
      </c>
      <c r="W18" s="141"/>
      <c r="X18" s="447" t="s">
        <v>75</v>
      </c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131"/>
      <c r="AL18" s="131"/>
      <c r="AM18" s="132"/>
      <c r="AN18" s="133"/>
      <c r="AO18" s="134"/>
    </row>
    <row r="19" spans="1:41" s="69" customFormat="1" ht="25.5" customHeight="1">
      <c r="A19" s="66"/>
      <c r="B19" s="66"/>
      <c r="C19" s="66"/>
      <c r="D19" s="66"/>
      <c r="E19" s="66"/>
      <c r="F19" s="135"/>
      <c r="G19" s="136" t="s">
        <v>76</v>
      </c>
      <c r="H19" s="123"/>
      <c r="I19" s="123"/>
      <c r="J19" s="142"/>
      <c r="K19" s="135"/>
      <c r="L19" s="124"/>
      <c r="M19" s="123"/>
      <c r="N19" s="123"/>
      <c r="O19" s="77"/>
      <c r="P19" s="123"/>
      <c r="Q19" s="123"/>
      <c r="R19" s="123"/>
      <c r="S19" s="123"/>
      <c r="T19" s="77"/>
      <c r="U19" s="77"/>
      <c r="V19" s="121">
        <v>8</v>
      </c>
      <c r="W19" s="141"/>
      <c r="X19" s="447" t="s">
        <v>77</v>
      </c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131"/>
      <c r="AL19" s="131"/>
      <c r="AM19" s="132"/>
      <c r="AN19" s="133"/>
      <c r="AO19" s="134"/>
    </row>
    <row r="20" spans="1:41" s="69" customFormat="1" ht="25.5" customHeight="1">
      <c r="A20" s="66"/>
      <c r="B20" s="66"/>
      <c r="C20" s="66"/>
      <c r="D20" s="66"/>
      <c r="E20" s="66"/>
      <c r="F20" s="123"/>
      <c r="G20" s="123"/>
      <c r="H20" s="123"/>
      <c r="I20" s="123"/>
      <c r="J20" s="123"/>
      <c r="K20" s="123"/>
      <c r="L20" s="123"/>
      <c r="M20" s="123"/>
      <c r="N20" s="123"/>
      <c r="O20" s="77"/>
      <c r="P20" s="123"/>
      <c r="Q20" s="123"/>
      <c r="R20" s="123"/>
      <c r="S20" s="123"/>
      <c r="T20" s="77"/>
      <c r="U20" s="77"/>
      <c r="V20" s="121">
        <v>9</v>
      </c>
      <c r="W20" s="141"/>
      <c r="X20" s="447" t="s">
        <v>78</v>
      </c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131"/>
      <c r="AL20" s="131"/>
      <c r="AM20" s="143"/>
      <c r="AN20" s="133"/>
      <c r="AO20" s="134"/>
    </row>
    <row r="21" spans="1:41" s="69" customFormat="1" ht="28.5" customHeight="1">
      <c r="A21" s="66"/>
      <c r="B21" s="66"/>
      <c r="C21" s="66"/>
      <c r="D21" s="66"/>
      <c r="E21" s="66"/>
      <c r="F21" s="123"/>
      <c r="G21" s="123"/>
      <c r="H21" s="123"/>
      <c r="I21" s="123"/>
      <c r="J21" s="123"/>
      <c r="K21" s="123"/>
      <c r="L21" s="123"/>
      <c r="M21" s="123"/>
      <c r="N21" s="123"/>
      <c r="O21" s="77"/>
      <c r="P21" s="123"/>
      <c r="Q21" s="123"/>
      <c r="R21" s="123"/>
      <c r="S21" s="123"/>
      <c r="T21" s="77"/>
      <c r="U21" s="77"/>
      <c r="V21" s="121">
        <v>10</v>
      </c>
      <c r="W21" s="141"/>
      <c r="X21" s="447" t="s">
        <v>79</v>
      </c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131"/>
      <c r="AL21" s="131"/>
      <c r="AM21" s="132"/>
      <c r="AN21" s="133"/>
      <c r="AO21" s="134"/>
    </row>
    <row r="22" spans="1:41" s="69" customFormat="1" ht="22.5" customHeight="1">
      <c r="A22" s="66"/>
      <c r="B22" s="66"/>
      <c r="C22" s="66"/>
      <c r="D22" s="66"/>
      <c r="E22" s="66"/>
      <c r="F22" s="123"/>
      <c r="G22" s="123"/>
      <c r="H22" s="123"/>
      <c r="I22" s="123"/>
      <c r="J22" s="123"/>
      <c r="K22" s="123"/>
      <c r="L22" s="123"/>
      <c r="M22" s="123"/>
      <c r="N22" s="123"/>
      <c r="O22" s="77"/>
      <c r="P22" s="123"/>
      <c r="Q22" s="123"/>
      <c r="R22" s="123"/>
      <c r="S22" s="123"/>
      <c r="T22" s="77"/>
      <c r="U22" s="77"/>
      <c r="V22" s="121">
        <v>11</v>
      </c>
      <c r="W22" s="141"/>
      <c r="X22" s="447" t="s">
        <v>80</v>
      </c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131"/>
      <c r="AL22" s="131"/>
      <c r="AM22" s="132"/>
      <c r="AN22" s="133"/>
      <c r="AO22" s="134"/>
    </row>
    <row r="23" spans="1:41" s="69" customFormat="1" ht="28.5" customHeight="1">
      <c r="A23" s="66"/>
      <c r="B23" s="66"/>
      <c r="C23" s="66"/>
      <c r="D23" s="66"/>
      <c r="E23" s="66"/>
      <c r="F23" s="123"/>
      <c r="G23" s="123"/>
      <c r="H23" s="123"/>
      <c r="I23" s="123"/>
      <c r="J23" s="123"/>
      <c r="K23" s="123"/>
      <c r="L23" s="123"/>
      <c r="M23" s="123"/>
      <c r="N23" s="123"/>
      <c r="O23" s="77"/>
      <c r="P23" s="123"/>
      <c r="Q23" s="123"/>
      <c r="R23" s="123"/>
      <c r="S23" s="123"/>
      <c r="T23" s="77"/>
      <c r="U23" s="77"/>
      <c r="V23" s="121">
        <v>12</v>
      </c>
      <c r="W23" s="141"/>
      <c r="X23" s="447" t="s">
        <v>81</v>
      </c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131"/>
      <c r="AL23" s="131"/>
      <c r="AM23" s="132"/>
      <c r="AN23" s="133"/>
      <c r="AO23" s="134"/>
    </row>
    <row r="24" spans="1:41" s="69" customFormat="1" ht="24.75" customHeight="1">
      <c r="A24" s="66"/>
      <c r="B24" s="66"/>
      <c r="C24" s="144" t="s">
        <v>82</v>
      </c>
      <c r="D24" s="144"/>
      <c r="E24" s="144"/>
      <c r="F24" s="123">
        <v>12</v>
      </c>
      <c r="G24" s="123"/>
      <c r="H24" s="123"/>
      <c r="I24" s="123"/>
      <c r="J24" s="123"/>
      <c r="K24" s="123"/>
      <c r="L24" s="123"/>
      <c r="M24" s="123"/>
      <c r="N24" s="123"/>
      <c r="O24" s="77"/>
      <c r="P24" s="123"/>
      <c r="Q24" s="123"/>
      <c r="R24" s="123"/>
      <c r="S24" s="123"/>
      <c r="T24" s="77"/>
      <c r="U24" s="77"/>
      <c r="V24" s="121">
        <v>13</v>
      </c>
      <c r="W24" s="141"/>
      <c r="X24" s="447" t="s">
        <v>83</v>
      </c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131"/>
      <c r="AL24" s="131"/>
      <c r="AM24" s="132"/>
      <c r="AN24" s="133"/>
      <c r="AO24" s="134"/>
    </row>
    <row r="25" spans="1:41" s="69" customFormat="1" ht="23.25" customHeight="1">
      <c r="A25" s="66"/>
      <c r="B25" s="66"/>
      <c r="C25" s="144"/>
      <c r="D25" s="144"/>
      <c r="E25" s="144"/>
      <c r="F25" s="123"/>
      <c r="G25" s="123"/>
      <c r="H25" s="123"/>
      <c r="I25" s="123"/>
      <c r="J25" s="123"/>
      <c r="K25" s="123"/>
      <c r="L25" s="123"/>
      <c r="M25" s="123"/>
      <c r="N25" s="123"/>
      <c r="O25" s="77"/>
      <c r="P25" s="123"/>
      <c r="Q25" s="123"/>
      <c r="R25" s="123"/>
      <c r="S25" s="123"/>
      <c r="T25" s="77"/>
      <c r="U25" s="77"/>
      <c r="V25" s="121">
        <v>14</v>
      </c>
      <c r="W25" s="141"/>
      <c r="X25" s="447" t="s">
        <v>45</v>
      </c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131"/>
      <c r="AL25" s="131"/>
      <c r="AM25" s="132"/>
      <c r="AN25" s="133"/>
      <c r="AO25" s="134"/>
    </row>
    <row r="26" spans="1:41" s="69" customFormat="1" ht="25.5" customHeight="1">
      <c r="A26" s="66"/>
      <c r="B26" s="66"/>
      <c r="C26" s="144" t="s">
        <v>84</v>
      </c>
      <c r="D26" s="144"/>
      <c r="E26" s="144">
        <v>77</v>
      </c>
      <c r="F26" s="123"/>
      <c r="G26" s="123"/>
      <c r="H26" s="123"/>
      <c r="I26" s="123"/>
      <c r="J26" s="123"/>
      <c r="K26" s="123"/>
      <c r="L26" s="123"/>
      <c r="M26" s="123"/>
      <c r="N26" s="123"/>
      <c r="O26" s="77"/>
      <c r="P26" s="123"/>
      <c r="Q26" s="123"/>
      <c r="R26" s="123"/>
      <c r="S26" s="123"/>
      <c r="T26" s="77"/>
      <c r="U26" s="77"/>
      <c r="V26" s="121">
        <v>15</v>
      </c>
      <c r="W26" s="145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131"/>
      <c r="AL26" s="131"/>
      <c r="AM26" s="133"/>
      <c r="AN26" s="133"/>
      <c r="AO26" s="146"/>
    </row>
    <row r="27" spans="1:41" s="147" customFormat="1" ht="22.5" customHeight="1">
      <c r="B27" s="148"/>
      <c r="V27" s="121">
        <v>16</v>
      </c>
      <c r="W27" s="149"/>
      <c r="X27" s="448" t="s">
        <v>85</v>
      </c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150"/>
      <c r="AL27" s="150"/>
      <c r="AM27" s="151"/>
      <c r="AN27" s="150"/>
      <c r="AO27" s="152">
        <f>AL27</f>
        <v>0</v>
      </c>
    </row>
    <row r="28" spans="1:41" s="69" customFormat="1" ht="33.75" customHeight="1">
      <c r="A28" s="66"/>
      <c r="B28" s="66"/>
      <c r="C28" s="66"/>
      <c r="D28" s="66"/>
      <c r="E28" s="66"/>
      <c r="F28" s="123"/>
      <c r="G28" s="123"/>
      <c r="H28" s="123"/>
      <c r="I28" s="123"/>
      <c r="J28" s="123"/>
      <c r="K28" s="123"/>
      <c r="L28" s="123"/>
      <c r="M28" s="123"/>
      <c r="N28" s="123"/>
      <c r="O28" s="77"/>
      <c r="P28" s="123"/>
      <c r="Q28" s="123"/>
      <c r="R28" s="123"/>
      <c r="S28" s="123"/>
      <c r="T28" s="77"/>
      <c r="U28" s="77"/>
      <c r="V28" s="121">
        <v>17</v>
      </c>
      <c r="W28" s="141"/>
      <c r="X28" s="447" t="s">
        <v>86</v>
      </c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131"/>
      <c r="AL28" s="131"/>
      <c r="AM28" s="132"/>
      <c r="AN28" s="133"/>
      <c r="AO28" s="134"/>
    </row>
    <row r="29" spans="1:41" s="69" customFormat="1" ht="31.5" customHeight="1">
      <c r="A29" s="66"/>
      <c r="B29" s="66"/>
      <c r="C29" s="66"/>
      <c r="D29" s="66"/>
      <c r="E29" s="66"/>
      <c r="F29" s="123"/>
      <c r="G29" s="123"/>
      <c r="H29" s="123"/>
      <c r="I29" s="123"/>
      <c r="J29" s="123"/>
      <c r="K29" s="123"/>
      <c r="L29" s="123"/>
      <c r="M29" s="123"/>
      <c r="N29" s="123"/>
      <c r="O29" s="77"/>
      <c r="P29" s="123"/>
      <c r="Q29" s="123"/>
      <c r="R29" s="123"/>
      <c r="S29" s="123"/>
      <c r="T29" s="77"/>
      <c r="U29" s="77"/>
      <c r="V29" s="121">
        <v>18</v>
      </c>
      <c r="W29" s="141"/>
      <c r="X29" s="447" t="s">
        <v>87</v>
      </c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131"/>
      <c r="AL29" s="131"/>
      <c r="AM29" s="132"/>
      <c r="AN29" s="133"/>
      <c r="AO29" s="134">
        <f>AN29+AM29+AL29</f>
        <v>0</v>
      </c>
    </row>
    <row r="30" spans="1:41" s="69" customFormat="1" ht="29.25" customHeight="1">
      <c r="A30" s="66"/>
      <c r="B30" s="66"/>
      <c r="C30" s="66"/>
      <c r="D30" s="66"/>
      <c r="E30" s="66"/>
      <c r="F30" s="123"/>
      <c r="G30" s="123"/>
      <c r="H30" s="123"/>
      <c r="I30" s="123"/>
      <c r="J30" s="123"/>
      <c r="K30" s="123"/>
      <c r="L30" s="123"/>
      <c r="M30" s="123"/>
      <c r="N30" s="123"/>
      <c r="O30" s="77"/>
      <c r="P30" s="123"/>
      <c r="Q30" s="124"/>
      <c r="R30" s="123"/>
      <c r="S30" s="123"/>
      <c r="T30" s="77"/>
      <c r="U30" s="77"/>
      <c r="V30" s="121">
        <v>19</v>
      </c>
      <c r="W30" s="141"/>
      <c r="X30" s="447" t="s">
        <v>88</v>
      </c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131"/>
      <c r="AL30" s="131"/>
      <c r="AM30" s="132"/>
      <c r="AN30" s="133"/>
      <c r="AO30" s="134"/>
    </row>
    <row r="31" spans="1:41" s="69" customFormat="1" ht="38.25" customHeight="1" thickBot="1">
      <c r="A31" s="66"/>
      <c r="B31" s="66"/>
      <c r="C31" s="66"/>
      <c r="D31" s="66"/>
      <c r="E31" s="66"/>
      <c r="F31" s="123"/>
      <c r="G31" s="123"/>
      <c r="H31" s="123"/>
      <c r="I31" s="123"/>
      <c r="J31" s="123"/>
      <c r="K31" s="123"/>
      <c r="L31" s="123"/>
      <c r="M31" s="123"/>
      <c r="N31" s="123"/>
      <c r="O31" s="77"/>
      <c r="P31" s="123"/>
      <c r="Q31" s="123"/>
      <c r="R31" s="123"/>
      <c r="S31" s="123"/>
      <c r="T31" s="77"/>
      <c r="U31" s="77"/>
      <c r="V31" s="121">
        <v>20</v>
      </c>
      <c r="W31" s="153"/>
      <c r="X31" s="431" t="s">
        <v>89</v>
      </c>
      <c r="Y31" s="431"/>
      <c r="Z31" s="431"/>
      <c r="AA31" s="431"/>
      <c r="AB31" s="431"/>
      <c r="AC31" s="431"/>
      <c r="AD31" s="431"/>
      <c r="AE31" s="431"/>
      <c r="AF31" s="431"/>
      <c r="AG31" s="431"/>
      <c r="AH31" s="431"/>
      <c r="AI31" s="431"/>
      <c r="AJ31" s="431"/>
      <c r="AK31" s="154"/>
      <c r="AL31" s="154"/>
      <c r="AM31" s="155"/>
      <c r="AN31" s="156"/>
      <c r="AO31" s="157">
        <f>AM31</f>
        <v>0</v>
      </c>
    </row>
    <row r="32" spans="1:41" s="69" customFormat="1" ht="36" customHeight="1" thickBot="1">
      <c r="A32" s="66"/>
      <c r="B32" s="66"/>
      <c r="C32" s="66"/>
      <c r="D32" s="66"/>
      <c r="E32" s="66"/>
      <c r="F32" s="123"/>
      <c r="G32" s="123"/>
      <c r="H32" s="123"/>
      <c r="I32" s="123"/>
      <c r="J32" s="123"/>
      <c r="K32" s="123"/>
      <c r="L32" s="123"/>
      <c r="M32" s="123"/>
      <c r="N32" s="123"/>
      <c r="O32" s="77"/>
      <c r="P32" s="123"/>
      <c r="Q32" s="123"/>
      <c r="R32" s="123"/>
      <c r="S32" s="123"/>
      <c r="T32" s="77"/>
      <c r="U32" s="77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442"/>
      <c r="AG32" s="442"/>
      <c r="AH32" s="442"/>
      <c r="AI32" s="442"/>
      <c r="AJ32" s="442"/>
      <c r="AK32" s="158"/>
      <c r="AL32" s="158"/>
      <c r="AM32" s="159"/>
      <c r="AN32" s="160"/>
      <c r="AO32" s="161"/>
    </row>
    <row r="33" spans="1:47" s="3" customFormat="1" ht="24.75" customHeight="1">
      <c r="A33" s="7"/>
      <c r="B33" s="11"/>
      <c r="C33" s="11"/>
      <c r="D33" s="11"/>
      <c r="E33" s="29"/>
      <c r="F33" s="29"/>
      <c r="G33" s="29"/>
      <c r="H33" s="29"/>
      <c r="I33" s="12"/>
      <c r="J33" s="12"/>
      <c r="K33" s="12"/>
      <c r="L33" s="12"/>
      <c r="M33" s="444" t="s">
        <v>378</v>
      </c>
      <c r="N33" s="444"/>
      <c r="O33" s="44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9"/>
      <c r="AE33" s="7"/>
      <c r="AF33" s="7"/>
      <c r="AG33" s="7"/>
      <c r="AH33" s="7"/>
      <c r="AI33" s="7"/>
    </row>
    <row r="34" spans="1:47" s="3" customFormat="1" ht="28.5" customHeight="1">
      <c r="A34" s="7"/>
      <c r="B34" s="11"/>
      <c r="C34" s="11"/>
      <c r="D34" s="11"/>
      <c r="E34" s="29"/>
      <c r="F34" s="29"/>
      <c r="G34" s="29"/>
      <c r="H34" s="29"/>
      <c r="I34" s="12"/>
      <c r="J34" s="12"/>
      <c r="K34" s="12"/>
      <c r="L34" s="12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62"/>
      <c r="AD34" s="9"/>
      <c r="AE34" s="7"/>
      <c r="AF34" s="7"/>
      <c r="AG34" s="7"/>
      <c r="AH34" s="7"/>
      <c r="AI34" s="7"/>
    </row>
    <row r="35" spans="1:47" s="3" customFormat="1" ht="22.5" customHeight="1">
      <c r="A35" s="7"/>
      <c r="B35" s="390" t="s">
        <v>377</v>
      </c>
      <c r="C35" s="7"/>
      <c r="D35" s="7"/>
      <c r="E35" s="28"/>
      <c r="F35" s="28"/>
      <c r="G35" s="28"/>
      <c r="H35" s="28"/>
      <c r="I35" s="8">
        <v>17697</v>
      </c>
      <c r="J35" s="8"/>
      <c r="K35" s="8"/>
      <c r="L35" s="8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47" s="3" customFormat="1" ht="1.5" hidden="1" customHeight="1">
      <c r="A36" s="7"/>
      <c r="B36" s="7"/>
      <c r="C36" s="7"/>
      <c r="D36" s="7"/>
      <c r="E36" s="28"/>
      <c r="F36" s="28"/>
      <c r="G36" s="28"/>
      <c r="H36" s="28"/>
      <c r="I36" s="8"/>
      <c r="J36" s="8"/>
      <c r="K36" s="8"/>
      <c r="L36" s="8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47" s="3" customFormat="1" ht="34.5" hidden="1" customHeight="1">
      <c r="A37" s="7"/>
      <c r="B37" s="7"/>
      <c r="C37" s="7"/>
      <c r="D37" s="7"/>
      <c r="E37" s="28"/>
      <c r="F37" s="28"/>
      <c r="G37" s="28"/>
      <c r="H37" s="28"/>
      <c r="I37" s="8"/>
      <c r="J37" s="8"/>
      <c r="K37" s="8"/>
      <c r="L37" s="8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47" s="3" customFormat="1" ht="34.5" hidden="1" customHeight="1">
      <c r="A38" s="7"/>
      <c r="B38" s="7"/>
      <c r="C38" s="7"/>
      <c r="D38" s="7"/>
      <c r="E38" s="28"/>
      <c r="F38" s="28"/>
      <c r="G38" s="28"/>
      <c r="H38" s="28"/>
      <c r="I38" s="8"/>
      <c r="J38" s="8"/>
      <c r="K38" s="8"/>
      <c r="L38" s="8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47" s="3" customFormat="1" ht="32.25" hidden="1" customHeight="1" thickBot="1">
      <c r="A39" s="7"/>
      <c r="B39" s="7"/>
      <c r="C39" s="7"/>
      <c r="D39" s="7"/>
      <c r="E39" s="28"/>
      <c r="F39" s="28"/>
      <c r="G39" s="28"/>
      <c r="H39" s="28"/>
      <c r="I39" s="8"/>
      <c r="J39" s="8"/>
      <c r="K39" s="8"/>
      <c r="L39" s="8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47" s="3" customFormat="1" ht="34.5" hidden="1" customHeight="1">
      <c r="A40" s="7"/>
      <c r="B40" s="7"/>
      <c r="C40" s="7"/>
      <c r="D40" s="7"/>
      <c r="E40" s="28"/>
      <c r="F40" s="28"/>
      <c r="G40" s="28"/>
      <c r="H40" s="28"/>
      <c r="I40" s="8"/>
      <c r="J40" s="8"/>
      <c r="K40" s="8"/>
      <c r="L40" s="8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47" s="3" customFormat="1" ht="42.75" customHeight="1">
      <c r="A41" s="468" t="s">
        <v>3</v>
      </c>
      <c r="B41" s="471" t="s">
        <v>4</v>
      </c>
      <c r="C41" s="471" t="s">
        <v>16</v>
      </c>
      <c r="D41" s="471" t="s">
        <v>17</v>
      </c>
      <c r="E41" s="518" t="s">
        <v>26</v>
      </c>
      <c r="F41" s="509" t="s">
        <v>5</v>
      </c>
      <c r="G41" s="509" t="s">
        <v>6</v>
      </c>
      <c r="H41" s="510" t="s">
        <v>14</v>
      </c>
      <c r="I41" s="481" t="s">
        <v>9</v>
      </c>
      <c r="J41" s="507" t="s">
        <v>49</v>
      </c>
      <c r="K41" s="512" t="s">
        <v>357</v>
      </c>
      <c r="L41" s="516" t="s">
        <v>358</v>
      </c>
      <c r="M41" s="434"/>
      <c r="N41" s="434"/>
      <c r="O41" s="435"/>
      <c r="P41" s="434"/>
      <c r="Q41" s="434"/>
      <c r="R41" s="493" t="s">
        <v>33</v>
      </c>
      <c r="S41" s="495">
        <v>0.1</v>
      </c>
      <c r="T41" s="497" t="s">
        <v>42</v>
      </c>
      <c r="U41" s="498"/>
      <c r="V41" s="492" t="s">
        <v>35</v>
      </c>
      <c r="W41" s="492"/>
      <c r="X41" s="436" t="s">
        <v>36</v>
      </c>
      <c r="Y41" s="437"/>
      <c r="Z41" s="438"/>
      <c r="AA41" s="432" t="s">
        <v>37</v>
      </c>
      <c r="AB41" s="439" t="s">
        <v>7</v>
      </c>
      <c r="AC41" s="440"/>
      <c r="AD41" s="440"/>
      <c r="AE41" s="440"/>
      <c r="AF41" s="440"/>
      <c r="AG41" s="440"/>
      <c r="AH41" s="440"/>
      <c r="AI41" s="440"/>
      <c r="AJ41" s="440"/>
      <c r="AK41" s="440"/>
      <c r="AL41" s="440"/>
      <c r="AM41" s="440"/>
      <c r="AN41" s="441"/>
      <c r="AO41" s="505" t="s">
        <v>15</v>
      </c>
      <c r="AP41" s="489"/>
      <c r="AQ41" s="489"/>
      <c r="AR41" s="489"/>
      <c r="AS41" s="489"/>
      <c r="AT41" s="489"/>
      <c r="AU41" s="489"/>
    </row>
    <row r="42" spans="1:47" s="3" customFormat="1" ht="171" customHeight="1">
      <c r="A42" s="468"/>
      <c r="B42" s="471"/>
      <c r="C42" s="471"/>
      <c r="D42" s="471"/>
      <c r="E42" s="508"/>
      <c r="F42" s="509"/>
      <c r="G42" s="509"/>
      <c r="H42" s="511"/>
      <c r="I42" s="482"/>
      <c r="J42" s="508"/>
      <c r="K42" s="513"/>
      <c r="L42" s="517"/>
      <c r="M42" s="34" t="s">
        <v>12</v>
      </c>
      <c r="N42" s="34" t="s">
        <v>13</v>
      </c>
      <c r="O42" s="34" t="s">
        <v>130</v>
      </c>
      <c r="P42" s="34" t="s">
        <v>12</v>
      </c>
      <c r="Q42" s="34" t="s">
        <v>13</v>
      </c>
      <c r="R42" s="494"/>
      <c r="S42" s="496"/>
      <c r="T42" s="52" t="s">
        <v>43</v>
      </c>
      <c r="U42" s="55" t="s">
        <v>44</v>
      </c>
      <c r="V42" s="52" t="s">
        <v>38</v>
      </c>
      <c r="W42" s="55" t="s">
        <v>39</v>
      </c>
      <c r="X42" s="179" t="s">
        <v>114</v>
      </c>
      <c r="Y42" s="63" t="s">
        <v>40</v>
      </c>
      <c r="Z42" s="56" t="s">
        <v>41</v>
      </c>
      <c r="AA42" s="433"/>
      <c r="AB42" s="57" t="s">
        <v>50</v>
      </c>
      <c r="AC42" s="184" t="s">
        <v>115</v>
      </c>
      <c r="AD42" s="64">
        <v>0.4</v>
      </c>
      <c r="AE42" s="64">
        <v>0.5</v>
      </c>
      <c r="AF42" s="180" t="s">
        <v>116</v>
      </c>
      <c r="AG42" s="180" t="s">
        <v>117</v>
      </c>
      <c r="AH42" s="490" t="s">
        <v>51</v>
      </c>
      <c r="AI42" s="491"/>
      <c r="AJ42" s="58" t="s">
        <v>19</v>
      </c>
      <c r="AK42" s="58" t="s">
        <v>18</v>
      </c>
      <c r="AL42" s="58" t="s">
        <v>52</v>
      </c>
      <c r="AM42" s="445" t="s">
        <v>221</v>
      </c>
      <c r="AN42" s="446"/>
      <c r="AO42" s="506"/>
      <c r="AP42" s="489"/>
      <c r="AQ42" s="489"/>
      <c r="AR42" s="489"/>
      <c r="AS42" s="489"/>
      <c r="AT42" s="489"/>
      <c r="AU42" s="489"/>
    </row>
    <row r="43" spans="1:47" s="22" customFormat="1" ht="45.75" customHeight="1">
      <c r="A43" s="21">
        <v>1</v>
      </c>
      <c r="B43" s="162" t="s">
        <v>90</v>
      </c>
      <c r="C43" s="163" t="s">
        <v>91</v>
      </c>
      <c r="D43" s="162" t="s">
        <v>11</v>
      </c>
      <c r="E43" s="37" t="s">
        <v>48</v>
      </c>
      <c r="F43" s="170" t="s">
        <v>27</v>
      </c>
      <c r="G43" s="176">
        <v>5.2</v>
      </c>
      <c r="H43" s="38" t="s">
        <v>332</v>
      </c>
      <c r="I43" s="53">
        <f>$I$35*G43</f>
        <v>92024.400000000009</v>
      </c>
      <c r="J43" s="53">
        <f>I43*0.25</f>
        <v>23006.100000000002</v>
      </c>
      <c r="K43" s="53">
        <f>(I43+J43)*1</f>
        <v>115030.50000000001</v>
      </c>
      <c r="L43" s="53">
        <f>(I43+J43)*2</f>
        <v>230061.00000000003</v>
      </c>
      <c r="M43" s="35"/>
      <c r="N43" s="35">
        <v>24</v>
      </c>
      <c r="O43" s="51">
        <f>SUM(M43:N43)</f>
        <v>24</v>
      </c>
      <c r="P43" s="42">
        <f>M43/16*L43</f>
        <v>0</v>
      </c>
      <c r="Q43" s="42">
        <f>N43/16*L43</f>
        <v>345091.50000000006</v>
      </c>
      <c r="R43" s="42">
        <f>P43+Q43</f>
        <v>345091.50000000006</v>
      </c>
      <c r="S43" s="43">
        <f>R43*0.1</f>
        <v>34509.150000000009</v>
      </c>
      <c r="T43" s="35"/>
      <c r="U43" s="49">
        <f t="shared" ref="U43:U46" si="0">17697*0.4/16*T43</f>
        <v>0</v>
      </c>
      <c r="V43" s="35">
        <f>SUM(O43)</f>
        <v>24</v>
      </c>
      <c r="W43" s="53">
        <f t="shared" ref="W43:W66" si="1">L43*0.3/16*V43</f>
        <v>103527.45000000001</v>
      </c>
      <c r="X43" s="53">
        <v>24</v>
      </c>
      <c r="Y43" s="42">
        <v>35</v>
      </c>
      <c r="Z43" s="53">
        <f>(L43*Y43/100)/16*X43</f>
        <v>120782.02500000001</v>
      </c>
      <c r="AA43" s="53"/>
      <c r="AB43" s="53"/>
      <c r="AC43" s="35">
        <v>6</v>
      </c>
      <c r="AD43" s="44">
        <f>SUM($I$35/16*0.4*AB43)</f>
        <v>0</v>
      </c>
      <c r="AE43" s="44">
        <f>SUM($I$35/16*0.5*AC43)</f>
        <v>3318.1875</v>
      </c>
      <c r="AF43" s="44"/>
      <c r="AG43" s="183">
        <v>0.5</v>
      </c>
      <c r="AH43" s="35">
        <f>SUM($I$35*AF43)*0.5</f>
        <v>0</v>
      </c>
      <c r="AI43" s="35">
        <f>SUM($I$35*AG43)*0.6</f>
        <v>5309.0999999999995</v>
      </c>
      <c r="AJ43" s="35"/>
      <c r="AK43" s="35"/>
      <c r="AL43" s="35"/>
      <c r="AM43" s="35"/>
      <c r="AN43" s="35">
        <f>SUM($I$35)*AM43</f>
        <v>0</v>
      </c>
      <c r="AO43" s="45">
        <f t="shared" ref="AO43:AO67" si="2">R43+S43+U43+W43+Z43+AA43+AD43+AE43+AH43+AI43+AJ43+AK43+AL43+AM43+AN43</f>
        <v>612537.41250000009</v>
      </c>
      <c r="AP43" s="185"/>
      <c r="AQ43" s="185"/>
      <c r="AR43" s="185"/>
      <c r="AS43" s="185"/>
      <c r="AT43" s="185"/>
      <c r="AU43" s="185"/>
    </row>
    <row r="44" spans="1:47" s="22" customFormat="1" ht="45.75" customHeight="1">
      <c r="A44" s="21">
        <v>2</v>
      </c>
      <c r="B44" s="164" t="s">
        <v>92</v>
      </c>
      <c r="C44" s="162" t="s">
        <v>93</v>
      </c>
      <c r="D44" s="165" t="s">
        <v>11</v>
      </c>
      <c r="E44" s="37" t="s">
        <v>48</v>
      </c>
      <c r="F44" s="171" t="s">
        <v>27</v>
      </c>
      <c r="G44" s="177">
        <v>5.12</v>
      </c>
      <c r="H44" s="47" t="s">
        <v>333</v>
      </c>
      <c r="I44" s="53">
        <f t="shared" ref="I44:I67" si="3">$I$35*G44</f>
        <v>90608.639999999999</v>
      </c>
      <c r="J44" s="53">
        <f t="shared" ref="J44:J67" si="4">I44*0.25</f>
        <v>22652.16</v>
      </c>
      <c r="K44" s="53">
        <f t="shared" ref="K44:K67" si="5">(I44+J44)*1</f>
        <v>113260.8</v>
      </c>
      <c r="L44" s="53">
        <f t="shared" ref="L44:L67" si="6">(I44+J44)*2</f>
        <v>226521.60000000001</v>
      </c>
      <c r="M44" s="35">
        <v>9</v>
      </c>
      <c r="N44" s="35">
        <v>12</v>
      </c>
      <c r="O44" s="51">
        <f t="shared" ref="O44:O67" si="7">SUM(M44:N44)</f>
        <v>21</v>
      </c>
      <c r="P44" s="42">
        <f t="shared" ref="P44:P67" si="8">M44/16*L44</f>
        <v>127418.40000000001</v>
      </c>
      <c r="Q44" s="42">
        <f t="shared" ref="Q44:Q67" si="9">N44/16*L44</f>
        <v>169891.20000000001</v>
      </c>
      <c r="R44" s="42">
        <f t="shared" ref="R44:R67" si="10">P44+Q44</f>
        <v>297309.60000000003</v>
      </c>
      <c r="S44" s="43">
        <f t="shared" ref="S44:S67" si="11">R44*0.1</f>
        <v>29730.960000000006</v>
      </c>
      <c r="T44" s="35"/>
      <c r="U44" s="49">
        <f t="shared" si="0"/>
        <v>0</v>
      </c>
      <c r="V44" s="35">
        <f t="shared" ref="V44:V67" si="12">SUM(O44)</f>
        <v>21</v>
      </c>
      <c r="W44" s="53">
        <f t="shared" si="1"/>
        <v>89192.87999999999</v>
      </c>
      <c r="X44" s="53">
        <v>21</v>
      </c>
      <c r="Y44" s="42">
        <v>35</v>
      </c>
      <c r="Z44" s="53">
        <f t="shared" ref="Z44:Z67" si="13">(L44*Y44/100)/16*X44</f>
        <v>104058.36</v>
      </c>
      <c r="AA44" s="53"/>
      <c r="AB44" s="53"/>
      <c r="AC44" s="35">
        <v>6.75</v>
      </c>
      <c r="AD44" s="44">
        <f t="shared" ref="AD44:AD67" si="14">SUM($I$35/16*0.4*AB44)</f>
        <v>0</v>
      </c>
      <c r="AE44" s="44">
        <f t="shared" ref="AE44:AE67" si="15">SUM($I$35/16*0.5*AC44)</f>
        <v>3732.9609375</v>
      </c>
      <c r="AF44" s="44"/>
      <c r="AG44" s="183">
        <v>0.5</v>
      </c>
      <c r="AH44" s="35">
        <f t="shared" ref="AH44:AH67" si="16">SUM($I$35*AF44)*0.5</f>
        <v>0</v>
      </c>
      <c r="AI44" s="35">
        <f t="shared" ref="AI44:AI67" si="17">SUM($I$35*AG44)*0.6</f>
        <v>5309.0999999999995</v>
      </c>
      <c r="AJ44" s="35"/>
      <c r="AK44" s="35"/>
      <c r="AL44" s="35"/>
      <c r="AM44" s="35"/>
      <c r="AN44" s="35">
        <f t="shared" ref="AN44:AN67" si="18">SUM($I$35)*AM44</f>
        <v>0</v>
      </c>
      <c r="AO44" s="45">
        <f t="shared" si="2"/>
        <v>529333.86093750002</v>
      </c>
      <c r="AP44" s="185"/>
      <c r="AQ44" s="185"/>
      <c r="AR44" s="185"/>
      <c r="AS44" s="185"/>
      <c r="AT44" s="185"/>
      <c r="AU44" s="185"/>
    </row>
    <row r="45" spans="1:47" s="24" customFormat="1" ht="45.75" customHeight="1">
      <c r="A45" s="23">
        <v>3</v>
      </c>
      <c r="B45" s="167" t="s">
        <v>94</v>
      </c>
      <c r="C45" s="162" t="s">
        <v>93</v>
      </c>
      <c r="D45" s="165" t="s">
        <v>11</v>
      </c>
      <c r="E45" s="37" t="s">
        <v>48</v>
      </c>
      <c r="F45" s="171" t="s">
        <v>27</v>
      </c>
      <c r="G45" s="177">
        <v>5.2</v>
      </c>
      <c r="H45" s="47" t="s">
        <v>334</v>
      </c>
      <c r="I45" s="53">
        <f t="shared" si="3"/>
        <v>92024.400000000009</v>
      </c>
      <c r="J45" s="53">
        <f t="shared" si="4"/>
        <v>23006.100000000002</v>
      </c>
      <c r="K45" s="53">
        <f t="shared" si="5"/>
        <v>115030.50000000001</v>
      </c>
      <c r="L45" s="53">
        <f t="shared" si="6"/>
        <v>230061.00000000003</v>
      </c>
      <c r="M45" s="40"/>
      <c r="N45" s="40">
        <v>5</v>
      </c>
      <c r="O45" s="51">
        <f t="shared" si="7"/>
        <v>5</v>
      </c>
      <c r="P45" s="42">
        <f t="shared" si="8"/>
        <v>0</v>
      </c>
      <c r="Q45" s="42">
        <f t="shared" si="9"/>
        <v>71894.062500000015</v>
      </c>
      <c r="R45" s="42">
        <f t="shared" si="10"/>
        <v>71894.062500000015</v>
      </c>
      <c r="S45" s="43">
        <f t="shared" si="11"/>
        <v>7189.4062500000018</v>
      </c>
      <c r="T45" s="40"/>
      <c r="U45" s="49">
        <f t="shared" si="0"/>
        <v>0</v>
      </c>
      <c r="V45" s="35">
        <f t="shared" si="12"/>
        <v>5</v>
      </c>
      <c r="W45" s="53">
        <f t="shared" si="1"/>
        <v>21568.21875</v>
      </c>
      <c r="X45" s="53">
        <v>5</v>
      </c>
      <c r="Y45" s="42">
        <v>35</v>
      </c>
      <c r="Z45" s="53">
        <f t="shared" si="13"/>
        <v>25162.921875</v>
      </c>
      <c r="AA45" s="53"/>
      <c r="AB45" s="53"/>
      <c r="AC45" s="40">
        <v>0.75</v>
      </c>
      <c r="AD45" s="44">
        <f t="shared" si="14"/>
        <v>0</v>
      </c>
      <c r="AE45" s="44">
        <f t="shared" si="15"/>
        <v>414.7734375</v>
      </c>
      <c r="AF45" s="44"/>
      <c r="AG45" s="183"/>
      <c r="AH45" s="35">
        <f t="shared" si="16"/>
        <v>0</v>
      </c>
      <c r="AI45" s="35">
        <f t="shared" si="17"/>
        <v>0</v>
      </c>
      <c r="AJ45" s="40"/>
      <c r="AK45" s="40"/>
      <c r="AL45" s="40"/>
      <c r="AM45" s="40"/>
      <c r="AN45" s="35">
        <f t="shared" si="18"/>
        <v>0</v>
      </c>
      <c r="AO45" s="45">
        <f t="shared" si="2"/>
        <v>126229.38281250001</v>
      </c>
      <c r="AP45" s="185"/>
      <c r="AQ45" s="185"/>
      <c r="AR45" s="185"/>
      <c r="AS45" s="185"/>
      <c r="AT45" s="185"/>
      <c r="AU45" s="185"/>
    </row>
    <row r="46" spans="1:47" s="22" customFormat="1" ht="45.75" customHeight="1">
      <c r="A46" s="21">
        <v>4</v>
      </c>
      <c r="B46" s="499" t="s">
        <v>122</v>
      </c>
      <c r="C46" s="162" t="s">
        <v>20</v>
      </c>
      <c r="D46" s="165" t="s">
        <v>11</v>
      </c>
      <c r="E46" s="37" t="s">
        <v>48</v>
      </c>
      <c r="F46" s="501" t="s">
        <v>27</v>
      </c>
      <c r="G46" s="177">
        <v>5.2</v>
      </c>
      <c r="H46" s="38" t="s">
        <v>335</v>
      </c>
      <c r="I46" s="53">
        <f t="shared" si="3"/>
        <v>92024.400000000009</v>
      </c>
      <c r="J46" s="53">
        <f t="shared" si="4"/>
        <v>23006.100000000002</v>
      </c>
      <c r="K46" s="53">
        <f t="shared" si="5"/>
        <v>115030.50000000001</v>
      </c>
      <c r="L46" s="53">
        <f t="shared" si="6"/>
        <v>230061.00000000003</v>
      </c>
      <c r="M46" s="35"/>
      <c r="N46" s="35">
        <v>24</v>
      </c>
      <c r="O46" s="51">
        <f t="shared" si="7"/>
        <v>24</v>
      </c>
      <c r="P46" s="42">
        <f t="shared" si="8"/>
        <v>0</v>
      </c>
      <c r="Q46" s="42">
        <f t="shared" si="9"/>
        <v>345091.50000000006</v>
      </c>
      <c r="R46" s="42">
        <f t="shared" si="10"/>
        <v>345091.50000000006</v>
      </c>
      <c r="S46" s="43">
        <f t="shared" si="11"/>
        <v>34509.150000000009</v>
      </c>
      <c r="T46" s="35"/>
      <c r="U46" s="49">
        <f t="shared" si="0"/>
        <v>0</v>
      </c>
      <c r="V46" s="35">
        <f t="shared" si="12"/>
        <v>24</v>
      </c>
      <c r="W46" s="53">
        <f t="shared" si="1"/>
        <v>103527.45000000001</v>
      </c>
      <c r="X46" s="53">
        <v>24</v>
      </c>
      <c r="Y46" s="42">
        <v>35</v>
      </c>
      <c r="Z46" s="53">
        <f t="shared" si="13"/>
        <v>120782.02500000001</v>
      </c>
      <c r="AA46" s="53"/>
      <c r="AB46" s="248">
        <v>7.5</v>
      </c>
      <c r="AC46" s="35"/>
      <c r="AD46" s="44">
        <f t="shared" si="14"/>
        <v>3318.1875</v>
      </c>
      <c r="AE46" s="44">
        <f t="shared" si="15"/>
        <v>0</v>
      </c>
      <c r="AF46" s="44"/>
      <c r="AG46" s="183">
        <v>0.5</v>
      </c>
      <c r="AH46" s="35">
        <f t="shared" si="16"/>
        <v>0</v>
      </c>
      <c r="AI46" s="35">
        <f t="shared" si="17"/>
        <v>5309.0999999999995</v>
      </c>
      <c r="AJ46" s="35"/>
      <c r="AK46" s="35"/>
      <c r="AL46" s="35"/>
      <c r="AM46" s="35"/>
      <c r="AN46" s="35">
        <f t="shared" si="18"/>
        <v>0</v>
      </c>
      <c r="AO46" s="45">
        <f t="shared" si="2"/>
        <v>612537.41250000009</v>
      </c>
      <c r="AP46" s="185"/>
      <c r="AQ46" s="185"/>
      <c r="AR46" s="185"/>
      <c r="AS46" s="185"/>
      <c r="AT46" s="185"/>
      <c r="AU46" s="185"/>
    </row>
    <row r="47" spans="1:47" s="22" customFormat="1" ht="45.75" customHeight="1">
      <c r="A47" s="21"/>
      <c r="B47" s="500"/>
      <c r="C47" s="245" t="s">
        <v>355</v>
      </c>
      <c r="D47" s="165" t="s">
        <v>11</v>
      </c>
      <c r="E47" s="37" t="s">
        <v>48</v>
      </c>
      <c r="F47" s="502"/>
      <c r="G47" s="177">
        <v>5.2</v>
      </c>
      <c r="H47" s="38" t="s">
        <v>336</v>
      </c>
      <c r="I47" s="53">
        <f t="shared" si="3"/>
        <v>92024.400000000009</v>
      </c>
      <c r="J47" s="53">
        <f t="shared" si="4"/>
        <v>23006.100000000002</v>
      </c>
      <c r="K47" s="53">
        <f t="shared" si="5"/>
        <v>115030.50000000001</v>
      </c>
      <c r="L47" s="53">
        <f t="shared" si="6"/>
        <v>230061.00000000003</v>
      </c>
      <c r="M47" s="35"/>
      <c r="N47" s="35">
        <v>6</v>
      </c>
      <c r="O47" s="51">
        <f t="shared" si="7"/>
        <v>6</v>
      </c>
      <c r="P47" s="42">
        <f t="shared" si="8"/>
        <v>0</v>
      </c>
      <c r="Q47" s="42">
        <f t="shared" si="9"/>
        <v>86272.875000000015</v>
      </c>
      <c r="R47" s="42">
        <f t="shared" si="10"/>
        <v>86272.875000000015</v>
      </c>
      <c r="S47" s="43">
        <f t="shared" si="11"/>
        <v>8627.2875000000022</v>
      </c>
      <c r="T47" s="35"/>
      <c r="U47" s="49"/>
      <c r="V47" s="35">
        <f t="shared" si="12"/>
        <v>6</v>
      </c>
      <c r="W47" s="53">
        <f t="shared" si="1"/>
        <v>25881.862500000003</v>
      </c>
      <c r="X47" s="53">
        <v>6</v>
      </c>
      <c r="Y47" s="42">
        <v>35</v>
      </c>
      <c r="Z47" s="53">
        <f t="shared" si="13"/>
        <v>30195.506250000002</v>
      </c>
      <c r="AA47" s="53"/>
      <c r="AB47" s="53"/>
      <c r="AC47" s="35"/>
      <c r="AD47" s="44">
        <f t="shared" si="14"/>
        <v>0</v>
      </c>
      <c r="AE47" s="44">
        <f t="shared" si="15"/>
        <v>0</v>
      </c>
      <c r="AF47" s="44"/>
      <c r="AG47" s="183"/>
      <c r="AH47" s="35"/>
      <c r="AI47" s="35"/>
      <c r="AJ47" s="35"/>
      <c r="AK47" s="35"/>
      <c r="AL47" s="35"/>
      <c r="AM47" s="35"/>
      <c r="AN47" s="35">
        <f t="shared" si="18"/>
        <v>0</v>
      </c>
      <c r="AO47" s="45">
        <f t="shared" si="2"/>
        <v>150977.53125000003</v>
      </c>
      <c r="AP47" s="185"/>
      <c r="AQ47" s="185"/>
      <c r="AR47" s="185"/>
      <c r="AS47" s="185"/>
      <c r="AT47" s="185"/>
      <c r="AU47" s="185"/>
    </row>
    <row r="48" spans="1:47" s="33" customFormat="1" ht="45.75" customHeight="1">
      <c r="A48" s="26">
        <v>5</v>
      </c>
      <c r="B48" s="168" t="s">
        <v>95</v>
      </c>
      <c r="C48" s="162" t="s">
        <v>93</v>
      </c>
      <c r="D48" s="165" t="s">
        <v>11</v>
      </c>
      <c r="E48" s="37" t="s">
        <v>48</v>
      </c>
      <c r="F48" s="171" t="s">
        <v>27</v>
      </c>
      <c r="G48" s="177">
        <v>4.95</v>
      </c>
      <c r="H48" s="392" t="s">
        <v>337</v>
      </c>
      <c r="I48" s="53">
        <f t="shared" si="3"/>
        <v>87600.150000000009</v>
      </c>
      <c r="J48" s="53">
        <f t="shared" si="4"/>
        <v>21900.037500000002</v>
      </c>
      <c r="K48" s="53">
        <f t="shared" si="5"/>
        <v>109500.18750000001</v>
      </c>
      <c r="L48" s="53">
        <f t="shared" si="6"/>
        <v>219000.37500000003</v>
      </c>
      <c r="M48" s="41"/>
      <c r="N48" s="41">
        <v>5</v>
      </c>
      <c r="O48" s="51">
        <f t="shared" si="7"/>
        <v>5</v>
      </c>
      <c r="P48" s="42">
        <f t="shared" si="8"/>
        <v>0</v>
      </c>
      <c r="Q48" s="42">
        <f t="shared" si="9"/>
        <v>68437.617187500015</v>
      </c>
      <c r="R48" s="42">
        <f t="shared" si="10"/>
        <v>68437.617187500015</v>
      </c>
      <c r="S48" s="43">
        <f t="shared" si="11"/>
        <v>6843.7617187500018</v>
      </c>
      <c r="T48" s="41"/>
      <c r="U48" s="49">
        <f>17697*0.4/16*T48</f>
        <v>0</v>
      </c>
      <c r="V48" s="35">
        <f t="shared" si="12"/>
        <v>5</v>
      </c>
      <c r="W48" s="53">
        <f t="shared" si="1"/>
        <v>20531.28515625</v>
      </c>
      <c r="X48" s="53">
        <v>5</v>
      </c>
      <c r="Y48" s="42">
        <v>35</v>
      </c>
      <c r="Z48" s="53">
        <f t="shared" si="13"/>
        <v>23953.166015625</v>
      </c>
      <c r="AA48" s="54"/>
      <c r="AB48" s="54"/>
      <c r="AC48" s="41">
        <v>0.75</v>
      </c>
      <c r="AD48" s="44">
        <f t="shared" si="14"/>
        <v>0</v>
      </c>
      <c r="AE48" s="44">
        <f t="shared" si="15"/>
        <v>414.7734375</v>
      </c>
      <c r="AF48" s="44"/>
      <c r="AG48" s="183"/>
      <c r="AH48" s="35">
        <f t="shared" si="16"/>
        <v>0</v>
      </c>
      <c r="AI48" s="35">
        <f t="shared" si="17"/>
        <v>0</v>
      </c>
      <c r="AJ48" s="41"/>
      <c r="AK48" s="41"/>
      <c r="AL48" s="41"/>
      <c r="AM48" s="41"/>
      <c r="AN48" s="35">
        <f t="shared" si="18"/>
        <v>0</v>
      </c>
      <c r="AO48" s="45">
        <f t="shared" si="2"/>
        <v>120180.60351562501</v>
      </c>
      <c r="AP48" s="185"/>
      <c r="AQ48" s="185"/>
      <c r="AR48" s="185"/>
      <c r="AS48" s="185"/>
      <c r="AT48" s="185"/>
      <c r="AU48" s="185"/>
    </row>
    <row r="49" spans="1:47" s="33" customFormat="1" ht="45.75" customHeight="1">
      <c r="A49" s="26">
        <v>6</v>
      </c>
      <c r="B49" s="167" t="s">
        <v>96</v>
      </c>
      <c r="C49" s="162" t="s">
        <v>97</v>
      </c>
      <c r="D49" s="165" t="s">
        <v>11</v>
      </c>
      <c r="E49" s="37" t="s">
        <v>24</v>
      </c>
      <c r="F49" s="423" t="s">
        <v>29</v>
      </c>
      <c r="G49" s="177">
        <v>4.7300000000000004</v>
      </c>
      <c r="H49" s="47" t="s">
        <v>338</v>
      </c>
      <c r="I49" s="53">
        <f t="shared" si="3"/>
        <v>83706.810000000012</v>
      </c>
      <c r="J49" s="53">
        <f t="shared" si="4"/>
        <v>20926.702500000003</v>
      </c>
      <c r="K49" s="53">
        <f t="shared" si="5"/>
        <v>104633.51250000001</v>
      </c>
      <c r="L49" s="53">
        <f t="shared" si="6"/>
        <v>209267.02500000002</v>
      </c>
      <c r="M49" s="41">
        <v>6</v>
      </c>
      <c r="N49" s="41"/>
      <c r="O49" s="51">
        <f t="shared" si="7"/>
        <v>6</v>
      </c>
      <c r="P49" s="42">
        <f t="shared" si="8"/>
        <v>78475.134375000009</v>
      </c>
      <c r="Q49" s="42">
        <f t="shared" si="9"/>
        <v>0</v>
      </c>
      <c r="R49" s="42">
        <f t="shared" si="10"/>
        <v>78475.134375000009</v>
      </c>
      <c r="S49" s="43">
        <f t="shared" si="11"/>
        <v>7847.5134375000016</v>
      </c>
      <c r="T49" s="41"/>
      <c r="U49" s="49">
        <f t="shared" ref="U49:U67" si="19">17697*0.4/16*T49</f>
        <v>0</v>
      </c>
      <c r="V49" s="35">
        <f t="shared" si="12"/>
        <v>6</v>
      </c>
      <c r="W49" s="53">
        <f t="shared" si="1"/>
        <v>23542.540312500001</v>
      </c>
      <c r="X49" s="53"/>
      <c r="Y49" s="48"/>
      <c r="Z49" s="53">
        <f t="shared" si="13"/>
        <v>0</v>
      </c>
      <c r="AA49" s="54"/>
      <c r="AB49" s="54"/>
      <c r="AC49" s="41">
        <v>1</v>
      </c>
      <c r="AD49" s="44">
        <f t="shared" si="14"/>
        <v>0</v>
      </c>
      <c r="AE49" s="44">
        <f t="shared" si="15"/>
        <v>553.03125</v>
      </c>
      <c r="AF49" s="44"/>
      <c r="AG49" s="183"/>
      <c r="AH49" s="35">
        <f t="shared" si="16"/>
        <v>0</v>
      </c>
      <c r="AI49" s="35">
        <f t="shared" si="17"/>
        <v>0</v>
      </c>
      <c r="AJ49" s="41"/>
      <c r="AK49" s="41"/>
      <c r="AL49" s="41"/>
      <c r="AM49" s="41"/>
      <c r="AN49" s="35">
        <f t="shared" si="18"/>
        <v>0</v>
      </c>
      <c r="AO49" s="45">
        <f t="shared" si="2"/>
        <v>110418.21937500002</v>
      </c>
      <c r="AP49" s="185"/>
      <c r="AQ49" s="185"/>
      <c r="AR49" s="185"/>
      <c r="AS49" s="185"/>
      <c r="AT49" s="185"/>
      <c r="AU49" s="185"/>
    </row>
    <row r="50" spans="1:47" s="33" customFormat="1" ht="45.75" customHeight="1">
      <c r="A50" s="469">
        <v>8</v>
      </c>
      <c r="B50" s="514" t="s">
        <v>101</v>
      </c>
      <c r="C50" s="37" t="s">
        <v>22</v>
      </c>
      <c r="D50" s="37" t="s">
        <v>11</v>
      </c>
      <c r="E50" s="37" t="s">
        <v>46</v>
      </c>
      <c r="F50" s="172" t="s">
        <v>28</v>
      </c>
      <c r="G50" s="38">
        <v>5.16</v>
      </c>
      <c r="H50" s="47" t="s">
        <v>339</v>
      </c>
      <c r="I50" s="53">
        <f t="shared" si="3"/>
        <v>91316.52</v>
      </c>
      <c r="J50" s="53">
        <f t="shared" si="4"/>
        <v>22829.13</v>
      </c>
      <c r="K50" s="53">
        <f t="shared" si="5"/>
        <v>114145.65000000001</v>
      </c>
      <c r="L50" s="53">
        <f t="shared" si="6"/>
        <v>228291.30000000002</v>
      </c>
      <c r="M50" s="41"/>
      <c r="N50" s="41">
        <v>18</v>
      </c>
      <c r="O50" s="51">
        <f t="shared" si="7"/>
        <v>18</v>
      </c>
      <c r="P50" s="42">
        <f t="shared" si="8"/>
        <v>0</v>
      </c>
      <c r="Q50" s="42">
        <f t="shared" si="9"/>
        <v>256827.71250000002</v>
      </c>
      <c r="R50" s="42">
        <f t="shared" si="10"/>
        <v>256827.71250000002</v>
      </c>
      <c r="S50" s="43">
        <f t="shared" si="11"/>
        <v>25682.771250000005</v>
      </c>
      <c r="T50" s="41"/>
      <c r="U50" s="49">
        <f t="shared" si="19"/>
        <v>0</v>
      </c>
      <c r="V50" s="35">
        <f t="shared" si="12"/>
        <v>18</v>
      </c>
      <c r="W50" s="53">
        <f t="shared" si="1"/>
        <v>77048.313750000001</v>
      </c>
      <c r="X50" s="53">
        <v>18</v>
      </c>
      <c r="Y50" s="48">
        <v>30</v>
      </c>
      <c r="Z50" s="53">
        <f t="shared" si="13"/>
        <v>77048.313750000016</v>
      </c>
      <c r="AA50" s="54"/>
      <c r="AB50" s="54"/>
      <c r="AC50" s="41"/>
      <c r="AD50" s="44">
        <f t="shared" si="14"/>
        <v>0</v>
      </c>
      <c r="AE50" s="44">
        <f t="shared" si="15"/>
        <v>0</v>
      </c>
      <c r="AF50" s="44"/>
      <c r="AG50" s="183">
        <v>0.5</v>
      </c>
      <c r="AH50" s="35">
        <f t="shared" si="16"/>
        <v>0</v>
      </c>
      <c r="AI50" s="35">
        <f t="shared" si="17"/>
        <v>5309.0999999999995</v>
      </c>
      <c r="AJ50" s="41"/>
      <c r="AK50" s="41"/>
      <c r="AL50" s="41"/>
      <c r="AM50" s="41">
        <v>1</v>
      </c>
      <c r="AN50" s="35">
        <f t="shared" si="18"/>
        <v>17697</v>
      </c>
      <c r="AO50" s="45">
        <f t="shared" si="2"/>
        <v>459614.21124999999</v>
      </c>
      <c r="AP50" s="185"/>
      <c r="AQ50" s="185"/>
      <c r="AR50" s="185"/>
      <c r="AS50" s="185"/>
      <c r="AT50" s="185"/>
      <c r="AU50" s="185"/>
    </row>
    <row r="51" spans="1:47" s="33" customFormat="1" ht="45.75" customHeight="1">
      <c r="A51" s="470"/>
      <c r="B51" s="515"/>
      <c r="C51" s="37" t="s">
        <v>102</v>
      </c>
      <c r="D51" s="37" t="s">
        <v>11</v>
      </c>
      <c r="E51" s="37" t="s">
        <v>24</v>
      </c>
      <c r="F51" s="172" t="s">
        <v>29</v>
      </c>
      <c r="G51" s="38">
        <v>4.7300000000000004</v>
      </c>
      <c r="H51" s="47" t="s">
        <v>340</v>
      </c>
      <c r="I51" s="53">
        <f t="shared" si="3"/>
        <v>83706.810000000012</v>
      </c>
      <c r="J51" s="53">
        <f t="shared" si="4"/>
        <v>20926.702500000003</v>
      </c>
      <c r="K51" s="53">
        <f t="shared" si="5"/>
        <v>104633.51250000001</v>
      </c>
      <c r="L51" s="53">
        <f t="shared" si="6"/>
        <v>209267.02500000002</v>
      </c>
      <c r="M51" s="41"/>
      <c r="N51" s="41">
        <v>7</v>
      </c>
      <c r="O51" s="51">
        <f t="shared" si="7"/>
        <v>7</v>
      </c>
      <c r="P51" s="42">
        <f t="shared" si="8"/>
        <v>0</v>
      </c>
      <c r="Q51" s="42">
        <f t="shared" si="9"/>
        <v>91554.323437500017</v>
      </c>
      <c r="R51" s="42">
        <f t="shared" si="10"/>
        <v>91554.323437500017</v>
      </c>
      <c r="S51" s="43">
        <f t="shared" si="11"/>
        <v>9155.4323437500025</v>
      </c>
      <c r="T51" s="41"/>
      <c r="U51" s="49">
        <f t="shared" si="19"/>
        <v>0</v>
      </c>
      <c r="V51" s="35">
        <f t="shared" si="12"/>
        <v>7</v>
      </c>
      <c r="W51" s="53">
        <f t="shared" si="1"/>
        <v>27466.297031250004</v>
      </c>
      <c r="X51" s="53"/>
      <c r="Y51" s="48"/>
      <c r="Z51" s="53">
        <f t="shared" si="13"/>
        <v>0</v>
      </c>
      <c r="AA51" s="54"/>
      <c r="AB51" s="54"/>
      <c r="AC51" s="41"/>
      <c r="AD51" s="44">
        <f t="shared" si="14"/>
        <v>0</v>
      </c>
      <c r="AE51" s="44">
        <f t="shared" si="15"/>
        <v>0</v>
      </c>
      <c r="AF51" s="44"/>
      <c r="AG51" s="44"/>
      <c r="AH51" s="35">
        <f t="shared" si="16"/>
        <v>0</v>
      </c>
      <c r="AI51" s="35">
        <f t="shared" si="17"/>
        <v>0</v>
      </c>
      <c r="AJ51" s="41"/>
      <c r="AK51" s="41"/>
      <c r="AL51" s="41"/>
      <c r="AM51" s="41"/>
      <c r="AN51" s="35">
        <f t="shared" si="18"/>
        <v>0</v>
      </c>
      <c r="AO51" s="45">
        <f t="shared" si="2"/>
        <v>128176.05281250001</v>
      </c>
      <c r="AP51" s="185"/>
      <c r="AQ51" s="185"/>
      <c r="AR51" s="185"/>
      <c r="AS51" s="185"/>
      <c r="AT51" s="185"/>
      <c r="AU51" s="185"/>
    </row>
    <row r="52" spans="1:47" s="33" customFormat="1" ht="45.75" customHeight="1">
      <c r="A52" s="26">
        <v>9</v>
      </c>
      <c r="B52" s="499" t="s">
        <v>127</v>
      </c>
      <c r="C52" s="169" t="s">
        <v>30</v>
      </c>
      <c r="D52" s="163" t="s">
        <v>11</v>
      </c>
      <c r="E52" s="188" t="s">
        <v>218</v>
      </c>
      <c r="F52" s="503" t="s">
        <v>28</v>
      </c>
      <c r="G52" s="38">
        <v>4.4400000000000004</v>
      </c>
      <c r="H52" s="47" t="s">
        <v>341</v>
      </c>
      <c r="I52" s="53">
        <f t="shared" si="3"/>
        <v>78574.680000000008</v>
      </c>
      <c r="J52" s="53">
        <f t="shared" si="4"/>
        <v>19643.670000000002</v>
      </c>
      <c r="K52" s="53">
        <f t="shared" si="5"/>
        <v>98218.35</v>
      </c>
      <c r="L52" s="53">
        <f t="shared" si="6"/>
        <v>196436.7</v>
      </c>
      <c r="M52" s="41">
        <v>10</v>
      </c>
      <c r="N52" s="41">
        <v>14</v>
      </c>
      <c r="O52" s="51">
        <f t="shared" si="7"/>
        <v>24</v>
      </c>
      <c r="P52" s="42">
        <f t="shared" si="8"/>
        <v>122772.9375</v>
      </c>
      <c r="Q52" s="42">
        <f t="shared" si="9"/>
        <v>171882.11250000002</v>
      </c>
      <c r="R52" s="42">
        <f t="shared" si="10"/>
        <v>294655.05000000005</v>
      </c>
      <c r="S52" s="43">
        <f t="shared" si="11"/>
        <v>29465.505000000005</v>
      </c>
      <c r="T52" s="41"/>
      <c r="U52" s="49">
        <f t="shared" si="19"/>
        <v>0</v>
      </c>
      <c r="V52" s="35">
        <f t="shared" si="12"/>
        <v>24</v>
      </c>
      <c r="W52" s="53">
        <f t="shared" si="1"/>
        <v>88396.514999999999</v>
      </c>
      <c r="X52" s="53">
        <v>24</v>
      </c>
      <c r="Y52" s="48">
        <v>30</v>
      </c>
      <c r="Z52" s="53">
        <f t="shared" si="13"/>
        <v>88396.514999999999</v>
      </c>
      <c r="AA52" s="54"/>
      <c r="AB52" s="391">
        <v>7</v>
      </c>
      <c r="AC52" s="41"/>
      <c r="AD52" s="44">
        <f t="shared" si="14"/>
        <v>3096.9749999999999</v>
      </c>
      <c r="AE52" s="44">
        <f t="shared" si="15"/>
        <v>0</v>
      </c>
      <c r="AF52" s="44"/>
      <c r="AG52" s="183">
        <v>0.5</v>
      </c>
      <c r="AH52" s="35">
        <f t="shared" si="16"/>
        <v>0</v>
      </c>
      <c r="AI52" s="35">
        <f t="shared" si="17"/>
        <v>5309.0999999999995</v>
      </c>
      <c r="AJ52" s="41"/>
      <c r="AK52" s="41"/>
      <c r="AL52" s="41"/>
      <c r="AM52" s="41"/>
      <c r="AN52" s="35">
        <f t="shared" si="18"/>
        <v>0</v>
      </c>
      <c r="AO52" s="45">
        <f t="shared" si="2"/>
        <v>509319.66000000003</v>
      </c>
      <c r="AP52" s="185"/>
      <c r="AQ52" s="185"/>
      <c r="AR52" s="185"/>
      <c r="AS52" s="185"/>
      <c r="AT52" s="185"/>
      <c r="AU52" s="185"/>
    </row>
    <row r="53" spans="1:47" s="33" customFormat="1" ht="45.75" customHeight="1">
      <c r="A53" s="26"/>
      <c r="B53" s="500"/>
      <c r="C53" s="246" t="s">
        <v>356</v>
      </c>
      <c r="D53" s="163" t="s">
        <v>11</v>
      </c>
      <c r="E53" s="188" t="s">
        <v>218</v>
      </c>
      <c r="F53" s="504"/>
      <c r="G53" s="38">
        <v>4.4400000000000004</v>
      </c>
      <c r="H53" s="392" t="s">
        <v>341</v>
      </c>
      <c r="I53" s="53">
        <f t="shared" si="3"/>
        <v>78574.680000000008</v>
      </c>
      <c r="J53" s="53">
        <f t="shared" si="4"/>
        <v>19643.670000000002</v>
      </c>
      <c r="K53" s="53">
        <f t="shared" si="5"/>
        <v>98218.35</v>
      </c>
      <c r="L53" s="53">
        <f t="shared" si="6"/>
        <v>196436.7</v>
      </c>
      <c r="M53" s="41"/>
      <c r="N53" s="41">
        <v>4</v>
      </c>
      <c r="O53" s="51">
        <f t="shared" si="7"/>
        <v>4</v>
      </c>
      <c r="P53" s="42">
        <f t="shared" si="8"/>
        <v>0</v>
      </c>
      <c r="Q53" s="42">
        <f t="shared" si="9"/>
        <v>49109.175000000003</v>
      </c>
      <c r="R53" s="42">
        <f t="shared" si="10"/>
        <v>49109.175000000003</v>
      </c>
      <c r="S53" s="43">
        <f t="shared" si="11"/>
        <v>4910.9175000000005</v>
      </c>
      <c r="T53" s="41"/>
      <c r="U53" s="49"/>
      <c r="V53" s="35">
        <f t="shared" si="12"/>
        <v>4</v>
      </c>
      <c r="W53" s="53">
        <f t="shared" si="1"/>
        <v>14732.752500000001</v>
      </c>
      <c r="X53" s="53">
        <v>4</v>
      </c>
      <c r="Y53" s="48">
        <v>30</v>
      </c>
      <c r="Z53" s="53">
        <f t="shared" si="13"/>
        <v>14732.752500000001</v>
      </c>
      <c r="AA53" s="54"/>
      <c r="AB53" s="54"/>
      <c r="AC53" s="41"/>
      <c r="AD53" s="44">
        <f t="shared" si="14"/>
        <v>0</v>
      </c>
      <c r="AE53" s="44">
        <f t="shared" si="15"/>
        <v>0</v>
      </c>
      <c r="AF53" s="44"/>
      <c r="AG53" s="44"/>
      <c r="AH53" s="35"/>
      <c r="AI53" s="35"/>
      <c r="AJ53" s="41"/>
      <c r="AK53" s="41"/>
      <c r="AL53" s="41"/>
      <c r="AM53" s="41"/>
      <c r="AN53" s="35">
        <f t="shared" si="18"/>
        <v>0</v>
      </c>
      <c r="AO53" s="45">
        <f t="shared" si="2"/>
        <v>83485.597500000003</v>
      </c>
      <c r="AP53" s="185"/>
      <c r="AQ53" s="185"/>
      <c r="AR53" s="185"/>
      <c r="AS53" s="185"/>
      <c r="AT53" s="185"/>
      <c r="AU53" s="185"/>
    </row>
    <row r="54" spans="1:47" s="33" customFormat="1" ht="45.75" customHeight="1">
      <c r="A54" s="26">
        <v>10</v>
      </c>
      <c r="B54" s="167" t="s">
        <v>98</v>
      </c>
      <c r="C54" s="162" t="s">
        <v>99</v>
      </c>
      <c r="D54" s="165" t="s">
        <v>11</v>
      </c>
      <c r="E54" s="166" t="s">
        <v>23</v>
      </c>
      <c r="F54" s="171" t="s">
        <v>28</v>
      </c>
      <c r="G54" s="38">
        <v>5.08</v>
      </c>
      <c r="H54" s="38" t="s">
        <v>342</v>
      </c>
      <c r="I54" s="53">
        <f t="shared" si="3"/>
        <v>89900.76</v>
      </c>
      <c r="J54" s="53">
        <f t="shared" si="4"/>
        <v>22475.19</v>
      </c>
      <c r="K54" s="53">
        <f t="shared" si="5"/>
        <v>112375.95</v>
      </c>
      <c r="L54" s="53">
        <f t="shared" si="6"/>
        <v>224751.9</v>
      </c>
      <c r="M54" s="41">
        <v>19</v>
      </c>
      <c r="N54" s="41"/>
      <c r="O54" s="51">
        <f t="shared" si="7"/>
        <v>19</v>
      </c>
      <c r="P54" s="42">
        <f t="shared" si="8"/>
        <v>266892.88124999998</v>
      </c>
      <c r="Q54" s="42">
        <f t="shared" si="9"/>
        <v>0</v>
      </c>
      <c r="R54" s="42">
        <f t="shared" si="10"/>
        <v>266892.88124999998</v>
      </c>
      <c r="S54" s="43">
        <f t="shared" si="11"/>
        <v>26689.288124999999</v>
      </c>
      <c r="T54" s="41"/>
      <c r="U54" s="49">
        <f t="shared" si="19"/>
        <v>0</v>
      </c>
      <c r="V54" s="35">
        <f t="shared" si="12"/>
        <v>19</v>
      </c>
      <c r="W54" s="53">
        <f t="shared" si="1"/>
        <v>80067.86437499999</v>
      </c>
      <c r="X54" s="53"/>
      <c r="Y54" s="48"/>
      <c r="Z54" s="53">
        <f t="shared" si="13"/>
        <v>0</v>
      </c>
      <c r="AA54" s="54"/>
      <c r="AB54" s="54">
        <v>4</v>
      </c>
      <c r="AC54" s="41"/>
      <c r="AD54" s="44">
        <f t="shared" si="14"/>
        <v>1769.7</v>
      </c>
      <c r="AE54" s="44">
        <f t="shared" si="15"/>
        <v>0</v>
      </c>
      <c r="AF54" s="183">
        <v>0.5</v>
      </c>
      <c r="AG54" s="44"/>
      <c r="AH54" s="35">
        <f t="shared" si="16"/>
        <v>4424.25</v>
      </c>
      <c r="AI54" s="35">
        <f t="shared" si="17"/>
        <v>0</v>
      </c>
      <c r="AJ54" s="41"/>
      <c r="AK54" s="41"/>
      <c r="AL54" s="41"/>
      <c r="AM54" s="41"/>
      <c r="AN54" s="35">
        <f t="shared" si="18"/>
        <v>0</v>
      </c>
      <c r="AO54" s="45">
        <f t="shared" si="2"/>
        <v>379843.98375000001</v>
      </c>
      <c r="AP54" s="185"/>
      <c r="AQ54" s="185"/>
      <c r="AR54" s="185"/>
      <c r="AS54" s="185"/>
      <c r="AT54" s="185"/>
      <c r="AU54" s="185"/>
    </row>
    <row r="55" spans="1:47" s="33" customFormat="1" ht="45.75" customHeight="1">
      <c r="A55" s="26"/>
      <c r="B55" s="167" t="s">
        <v>100</v>
      </c>
      <c r="C55" s="169" t="s">
        <v>93</v>
      </c>
      <c r="D55" s="165" t="s">
        <v>11</v>
      </c>
      <c r="E55" s="166" t="s">
        <v>46</v>
      </c>
      <c r="F55" s="171" t="s">
        <v>28</v>
      </c>
      <c r="G55" s="38">
        <v>5.08</v>
      </c>
      <c r="H55" s="47" t="s">
        <v>343</v>
      </c>
      <c r="I55" s="53">
        <f t="shared" si="3"/>
        <v>89900.76</v>
      </c>
      <c r="J55" s="53">
        <f t="shared" si="4"/>
        <v>22475.19</v>
      </c>
      <c r="K55" s="53">
        <f t="shared" si="5"/>
        <v>112375.95</v>
      </c>
      <c r="L55" s="53">
        <f t="shared" si="6"/>
        <v>224751.9</v>
      </c>
      <c r="M55" s="41"/>
      <c r="N55" s="41">
        <v>6</v>
      </c>
      <c r="O55" s="51">
        <f t="shared" si="7"/>
        <v>6</v>
      </c>
      <c r="P55" s="42">
        <f t="shared" si="8"/>
        <v>0</v>
      </c>
      <c r="Q55" s="42">
        <f t="shared" si="9"/>
        <v>84281.962499999994</v>
      </c>
      <c r="R55" s="42">
        <f t="shared" si="10"/>
        <v>84281.962499999994</v>
      </c>
      <c r="S55" s="43">
        <f t="shared" si="11"/>
        <v>8428.1962499999991</v>
      </c>
      <c r="T55" s="41"/>
      <c r="U55" s="49">
        <f t="shared" si="19"/>
        <v>0</v>
      </c>
      <c r="V55" s="35">
        <f t="shared" si="12"/>
        <v>6</v>
      </c>
      <c r="W55" s="53">
        <f t="shared" si="1"/>
        <v>25284.588749999995</v>
      </c>
      <c r="X55" s="53">
        <v>6</v>
      </c>
      <c r="Y55" s="48">
        <v>30</v>
      </c>
      <c r="Z55" s="53">
        <f t="shared" si="13"/>
        <v>25284.588750000003</v>
      </c>
      <c r="AA55" s="54"/>
      <c r="AB55" s="54"/>
      <c r="AC55" s="41">
        <v>0.75</v>
      </c>
      <c r="AD55" s="44">
        <f t="shared" si="14"/>
        <v>0</v>
      </c>
      <c r="AE55" s="44">
        <f t="shared" si="15"/>
        <v>414.7734375</v>
      </c>
      <c r="AF55" s="44"/>
      <c r="AG55" s="44"/>
      <c r="AH55" s="35">
        <f t="shared" si="16"/>
        <v>0</v>
      </c>
      <c r="AI55" s="35">
        <f t="shared" si="17"/>
        <v>0</v>
      </c>
      <c r="AJ55" s="41"/>
      <c r="AK55" s="41"/>
      <c r="AL55" s="41"/>
      <c r="AM55" s="41"/>
      <c r="AN55" s="35">
        <f t="shared" si="18"/>
        <v>0</v>
      </c>
      <c r="AO55" s="45">
        <f t="shared" si="2"/>
        <v>143694.10968749999</v>
      </c>
      <c r="AP55" s="185"/>
      <c r="AQ55" s="185"/>
      <c r="AR55" s="185"/>
      <c r="AS55" s="185"/>
      <c r="AT55" s="185"/>
      <c r="AU55" s="185"/>
    </row>
    <row r="56" spans="1:47" s="33" customFormat="1" ht="45.75" customHeight="1">
      <c r="A56" s="26">
        <v>12</v>
      </c>
      <c r="B56" s="167" t="s">
        <v>123</v>
      </c>
      <c r="C56" s="169" t="s">
        <v>99</v>
      </c>
      <c r="D56" s="165" t="s">
        <v>11</v>
      </c>
      <c r="E56" s="166" t="s">
        <v>24</v>
      </c>
      <c r="F56" s="171" t="s">
        <v>29</v>
      </c>
      <c r="G56" s="38">
        <v>4.49</v>
      </c>
      <c r="H56" s="47" t="s">
        <v>344</v>
      </c>
      <c r="I56" s="53">
        <f t="shared" si="3"/>
        <v>79459.53</v>
      </c>
      <c r="J56" s="53">
        <f t="shared" si="4"/>
        <v>19864.8825</v>
      </c>
      <c r="K56" s="53">
        <f t="shared" si="5"/>
        <v>99324.412500000006</v>
      </c>
      <c r="L56" s="53">
        <f t="shared" si="6"/>
        <v>198648.82500000001</v>
      </c>
      <c r="M56" s="41">
        <v>21</v>
      </c>
      <c r="N56" s="41"/>
      <c r="O56" s="51">
        <f t="shared" si="7"/>
        <v>21</v>
      </c>
      <c r="P56" s="42">
        <f t="shared" si="8"/>
        <v>260726.58281250001</v>
      </c>
      <c r="Q56" s="42">
        <f t="shared" si="9"/>
        <v>0</v>
      </c>
      <c r="R56" s="42">
        <f t="shared" si="10"/>
        <v>260726.58281250001</v>
      </c>
      <c r="S56" s="43">
        <f t="shared" si="11"/>
        <v>26072.658281250002</v>
      </c>
      <c r="T56" s="41"/>
      <c r="U56" s="49">
        <f t="shared" si="19"/>
        <v>0</v>
      </c>
      <c r="V56" s="35">
        <f t="shared" si="12"/>
        <v>21</v>
      </c>
      <c r="W56" s="53">
        <f t="shared" si="1"/>
        <v>78217.974843749995</v>
      </c>
      <c r="X56" s="53"/>
      <c r="Y56" s="48"/>
      <c r="Z56" s="53">
        <f t="shared" si="13"/>
        <v>0</v>
      </c>
      <c r="AA56" s="54"/>
      <c r="AB56" s="181">
        <v>4</v>
      </c>
      <c r="AC56" s="41"/>
      <c r="AD56" s="44">
        <f t="shared" si="14"/>
        <v>1769.7</v>
      </c>
      <c r="AE56" s="44">
        <f t="shared" si="15"/>
        <v>0</v>
      </c>
      <c r="AF56" s="183">
        <v>0.5</v>
      </c>
      <c r="AG56" s="44"/>
      <c r="AH56" s="35">
        <f t="shared" si="16"/>
        <v>4424.25</v>
      </c>
      <c r="AI56" s="35">
        <f t="shared" si="17"/>
        <v>0</v>
      </c>
      <c r="AJ56" s="41"/>
      <c r="AK56" s="41"/>
      <c r="AL56" s="41"/>
      <c r="AM56" s="41"/>
      <c r="AN56" s="35">
        <f t="shared" si="18"/>
        <v>0</v>
      </c>
      <c r="AO56" s="45">
        <f t="shared" si="2"/>
        <v>371211.16593750002</v>
      </c>
      <c r="AP56" s="185"/>
      <c r="AQ56" s="185"/>
      <c r="AR56" s="185"/>
      <c r="AS56" s="185"/>
      <c r="AT56" s="185"/>
      <c r="AU56" s="185"/>
    </row>
    <row r="57" spans="1:47" s="33" customFormat="1" ht="45.75" customHeight="1">
      <c r="A57" s="26">
        <v>13</v>
      </c>
      <c r="B57" s="242" t="s">
        <v>103</v>
      </c>
      <c r="C57" s="163" t="s">
        <v>25</v>
      </c>
      <c r="D57" s="162" t="s">
        <v>11</v>
      </c>
      <c r="E57" s="37" t="s">
        <v>24</v>
      </c>
      <c r="F57" s="171" t="s">
        <v>29</v>
      </c>
      <c r="G57" s="424">
        <v>4.2300000000000004</v>
      </c>
      <c r="H57" s="50" t="s">
        <v>345</v>
      </c>
      <c r="I57" s="53">
        <f t="shared" si="3"/>
        <v>74858.310000000012</v>
      </c>
      <c r="J57" s="53">
        <f t="shared" si="4"/>
        <v>18714.577500000003</v>
      </c>
      <c r="K57" s="53">
        <f t="shared" si="5"/>
        <v>93572.887500000012</v>
      </c>
      <c r="L57" s="53">
        <f t="shared" si="6"/>
        <v>187145.77500000002</v>
      </c>
      <c r="M57" s="41"/>
      <c r="N57" s="41">
        <v>21</v>
      </c>
      <c r="O57" s="51">
        <f t="shared" si="7"/>
        <v>21</v>
      </c>
      <c r="P57" s="42">
        <f t="shared" si="8"/>
        <v>0</v>
      </c>
      <c r="Q57" s="42">
        <f t="shared" si="9"/>
        <v>245628.82968750002</v>
      </c>
      <c r="R57" s="42">
        <f t="shared" si="10"/>
        <v>245628.82968750002</v>
      </c>
      <c r="S57" s="43">
        <f t="shared" si="11"/>
        <v>24562.882968750004</v>
      </c>
      <c r="T57" s="41"/>
      <c r="U57" s="49">
        <f t="shared" si="19"/>
        <v>0</v>
      </c>
      <c r="V57" s="35">
        <f t="shared" si="12"/>
        <v>21</v>
      </c>
      <c r="W57" s="53">
        <f t="shared" si="1"/>
        <v>73688.648906250004</v>
      </c>
      <c r="X57" s="53"/>
      <c r="Y57" s="48"/>
      <c r="Z57" s="53">
        <f t="shared" si="13"/>
        <v>0</v>
      </c>
      <c r="AA57" s="54"/>
      <c r="AB57" s="54"/>
      <c r="AC57" s="41"/>
      <c r="AD57" s="44">
        <f t="shared" si="14"/>
        <v>0</v>
      </c>
      <c r="AE57" s="44">
        <f t="shared" si="15"/>
        <v>0</v>
      </c>
      <c r="AF57" s="44"/>
      <c r="AG57" s="44"/>
      <c r="AH57" s="35">
        <f t="shared" si="16"/>
        <v>0</v>
      </c>
      <c r="AI57" s="35">
        <f t="shared" si="17"/>
        <v>0</v>
      </c>
      <c r="AJ57" s="41"/>
      <c r="AK57" s="41"/>
      <c r="AL57" s="41"/>
      <c r="AM57" s="41"/>
      <c r="AN57" s="35">
        <f t="shared" si="18"/>
        <v>0</v>
      </c>
      <c r="AO57" s="45">
        <f t="shared" si="2"/>
        <v>343880.36156250007</v>
      </c>
      <c r="AP57" s="185"/>
      <c r="AQ57" s="185"/>
      <c r="AR57" s="185"/>
      <c r="AS57" s="185"/>
      <c r="AT57" s="185"/>
      <c r="AU57" s="185"/>
    </row>
    <row r="58" spans="1:47" s="33" customFormat="1" ht="45.75" customHeight="1">
      <c r="A58" s="26">
        <v>15</v>
      </c>
      <c r="B58" s="187" t="s">
        <v>104</v>
      </c>
      <c r="C58" s="169" t="s">
        <v>105</v>
      </c>
      <c r="D58" s="163" t="s">
        <v>11</v>
      </c>
      <c r="E58" s="37" t="s">
        <v>24</v>
      </c>
      <c r="F58" s="171" t="s">
        <v>29</v>
      </c>
      <c r="G58" s="38">
        <v>4.49</v>
      </c>
      <c r="H58" s="392" t="s">
        <v>346</v>
      </c>
      <c r="I58" s="53">
        <f t="shared" si="3"/>
        <v>79459.53</v>
      </c>
      <c r="J58" s="53">
        <f t="shared" si="4"/>
        <v>19864.8825</v>
      </c>
      <c r="K58" s="53">
        <f t="shared" si="5"/>
        <v>99324.412500000006</v>
      </c>
      <c r="L58" s="53">
        <f t="shared" si="6"/>
        <v>198648.82500000001</v>
      </c>
      <c r="M58" s="41"/>
      <c r="N58" s="41">
        <v>19</v>
      </c>
      <c r="O58" s="51">
        <f t="shared" si="7"/>
        <v>19</v>
      </c>
      <c r="P58" s="42">
        <f t="shared" si="8"/>
        <v>0</v>
      </c>
      <c r="Q58" s="42">
        <f t="shared" si="9"/>
        <v>235895.47968750002</v>
      </c>
      <c r="R58" s="42">
        <f t="shared" si="10"/>
        <v>235895.47968750002</v>
      </c>
      <c r="S58" s="43">
        <f t="shared" si="11"/>
        <v>23589.547968750005</v>
      </c>
      <c r="T58" s="41"/>
      <c r="U58" s="49">
        <f t="shared" si="19"/>
        <v>0</v>
      </c>
      <c r="V58" s="35">
        <f t="shared" si="12"/>
        <v>19</v>
      </c>
      <c r="W58" s="53">
        <f t="shared" si="1"/>
        <v>70768.643906249999</v>
      </c>
      <c r="X58" s="53"/>
      <c r="Y58" s="48"/>
      <c r="Z58" s="53">
        <f t="shared" si="13"/>
        <v>0</v>
      </c>
      <c r="AA58" s="54"/>
      <c r="AB58" s="54">
        <v>2</v>
      </c>
      <c r="AC58" s="41"/>
      <c r="AD58" s="44">
        <f t="shared" si="14"/>
        <v>884.85</v>
      </c>
      <c r="AE58" s="44">
        <f t="shared" si="15"/>
        <v>0</v>
      </c>
      <c r="AF58" s="44"/>
      <c r="AG58" s="183">
        <v>0.5</v>
      </c>
      <c r="AH58" s="35">
        <f t="shared" si="16"/>
        <v>0</v>
      </c>
      <c r="AI58" s="35">
        <f t="shared" si="17"/>
        <v>5309.0999999999995</v>
      </c>
      <c r="AJ58" s="41"/>
      <c r="AK58" s="41"/>
      <c r="AL58" s="41"/>
      <c r="AM58" s="41"/>
      <c r="AN58" s="35">
        <f t="shared" si="18"/>
        <v>0</v>
      </c>
      <c r="AO58" s="45">
        <f t="shared" si="2"/>
        <v>336447.62156249996</v>
      </c>
      <c r="AP58" s="185"/>
      <c r="AQ58" s="185"/>
      <c r="AR58" s="185"/>
      <c r="AS58" s="185"/>
      <c r="AT58" s="185"/>
      <c r="AU58" s="185"/>
    </row>
    <row r="59" spans="1:47" s="33" customFormat="1" ht="45.75" customHeight="1">
      <c r="A59" s="189">
        <v>16</v>
      </c>
      <c r="B59" s="162" t="s">
        <v>125</v>
      </c>
      <c r="C59" s="169" t="s">
        <v>126</v>
      </c>
      <c r="D59" s="163" t="s">
        <v>11</v>
      </c>
      <c r="E59" s="37" t="s">
        <v>24</v>
      </c>
      <c r="F59" s="171" t="s">
        <v>29</v>
      </c>
      <c r="G59" s="38">
        <v>4.0999999999999996</v>
      </c>
      <c r="H59" s="47" t="s">
        <v>347</v>
      </c>
      <c r="I59" s="53">
        <f t="shared" si="3"/>
        <v>72557.7</v>
      </c>
      <c r="J59" s="53">
        <f t="shared" si="4"/>
        <v>18139.424999999999</v>
      </c>
      <c r="K59" s="53">
        <f t="shared" si="5"/>
        <v>90697.125</v>
      </c>
      <c r="L59" s="53">
        <f t="shared" si="6"/>
        <v>181394.25</v>
      </c>
      <c r="M59" s="41"/>
      <c r="N59" s="41">
        <v>12</v>
      </c>
      <c r="O59" s="51">
        <f t="shared" si="7"/>
        <v>12</v>
      </c>
      <c r="P59" s="42">
        <f t="shared" si="8"/>
        <v>0</v>
      </c>
      <c r="Q59" s="42">
        <f t="shared" si="9"/>
        <v>136045.6875</v>
      </c>
      <c r="R59" s="42">
        <f t="shared" si="10"/>
        <v>136045.6875</v>
      </c>
      <c r="S59" s="43">
        <f t="shared" si="11"/>
        <v>13604.56875</v>
      </c>
      <c r="T59" s="41"/>
      <c r="U59" s="49">
        <f t="shared" si="19"/>
        <v>0</v>
      </c>
      <c r="V59" s="35">
        <f t="shared" si="12"/>
        <v>12</v>
      </c>
      <c r="W59" s="53">
        <f t="shared" si="1"/>
        <v>40813.706250000003</v>
      </c>
      <c r="X59" s="53"/>
      <c r="Y59" s="48"/>
      <c r="Z59" s="53">
        <f t="shared" si="13"/>
        <v>0</v>
      </c>
      <c r="AA59" s="54"/>
      <c r="AB59" s="54"/>
      <c r="AC59" s="41"/>
      <c r="AD59" s="44">
        <f t="shared" si="14"/>
        <v>0</v>
      </c>
      <c r="AE59" s="44">
        <f t="shared" si="15"/>
        <v>0</v>
      </c>
      <c r="AF59" s="44"/>
      <c r="AG59" s="44"/>
      <c r="AH59" s="35">
        <f t="shared" si="16"/>
        <v>0</v>
      </c>
      <c r="AI59" s="35">
        <f t="shared" si="17"/>
        <v>0</v>
      </c>
      <c r="AJ59" s="41"/>
      <c r="AK59" s="41"/>
      <c r="AL59" s="41"/>
      <c r="AM59" s="41"/>
      <c r="AN59" s="35">
        <f t="shared" si="18"/>
        <v>0</v>
      </c>
      <c r="AO59" s="45">
        <f t="shared" si="2"/>
        <v>190463.96250000002</v>
      </c>
      <c r="AP59" s="185"/>
      <c r="AQ59" s="185"/>
      <c r="AR59" s="185"/>
      <c r="AS59" s="185"/>
      <c r="AT59" s="185"/>
      <c r="AU59" s="185"/>
    </row>
    <row r="60" spans="1:47" s="33" customFormat="1" ht="45.75" customHeight="1">
      <c r="A60" s="26">
        <v>17</v>
      </c>
      <c r="B60" s="167" t="s">
        <v>128</v>
      </c>
      <c r="C60" s="169" t="s">
        <v>106</v>
      </c>
      <c r="D60" s="165" t="s">
        <v>11</v>
      </c>
      <c r="E60" s="37" t="s">
        <v>24</v>
      </c>
      <c r="F60" s="171" t="s">
        <v>29</v>
      </c>
      <c r="G60" s="38">
        <v>4.49</v>
      </c>
      <c r="H60" s="47" t="s">
        <v>348</v>
      </c>
      <c r="I60" s="53">
        <f t="shared" si="3"/>
        <v>79459.53</v>
      </c>
      <c r="J60" s="53">
        <f t="shared" si="4"/>
        <v>19864.8825</v>
      </c>
      <c r="K60" s="53">
        <f t="shared" si="5"/>
        <v>99324.412500000006</v>
      </c>
      <c r="L60" s="53">
        <f t="shared" si="6"/>
        <v>198648.82500000001</v>
      </c>
      <c r="M60" s="41"/>
      <c r="N60" s="41">
        <v>10</v>
      </c>
      <c r="O60" s="51">
        <f t="shared" si="7"/>
        <v>10</v>
      </c>
      <c r="P60" s="42">
        <f t="shared" si="8"/>
        <v>0</v>
      </c>
      <c r="Q60" s="42">
        <f t="shared" si="9"/>
        <v>124155.515625</v>
      </c>
      <c r="R60" s="42">
        <f t="shared" si="10"/>
        <v>124155.515625</v>
      </c>
      <c r="S60" s="43">
        <f t="shared" si="11"/>
        <v>12415.551562500001</v>
      </c>
      <c r="T60" s="41"/>
      <c r="U60" s="49">
        <f t="shared" si="19"/>
        <v>0</v>
      </c>
      <c r="V60" s="35">
        <f t="shared" si="12"/>
        <v>10</v>
      </c>
      <c r="W60" s="53">
        <f t="shared" si="1"/>
        <v>37246.654687499999</v>
      </c>
      <c r="X60" s="53"/>
      <c r="Y60" s="48"/>
      <c r="Z60" s="53">
        <f t="shared" si="13"/>
        <v>0</v>
      </c>
      <c r="AA60" s="54"/>
      <c r="AB60" s="54">
        <v>2</v>
      </c>
      <c r="AC60" s="41"/>
      <c r="AD60" s="44">
        <f t="shared" si="14"/>
        <v>884.85</v>
      </c>
      <c r="AE60" s="44">
        <f t="shared" si="15"/>
        <v>0</v>
      </c>
      <c r="AF60" s="44"/>
      <c r="AG60" s="44"/>
      <c r="AH60" s="35">
        <f t="shared" si="16"/>
        <v>0</v>
      </c>
      <c r="AI60" s="35">
        <f t="shared" si="17"/>
        <v>0</v>
      </c>
      <c r="AJ60" s="41"/>
      <c r="AK60" s="41"/>
      <c r="AL60" s="41"/>
      <c r="AM60" s="41"/>
      <c r="AN60" s="35">
        <f t="shared" si="18"/>
        <v>0</v>
      </c>
      <c r="AO60" s="45">
        <f t="shared" si="2"/>
        <v>174702.57187500002</v>
      </c>
      <c r="AP60" s="185"/>
      <c r="AQ60" s="185"/>
      <c r="AR60" s="185"/>
      <c r="AS60" s="185"/>
      <c r="AT60" s="185"/>
      <c r="AU60" s="185"/>
    </row>
    <row r="61" spans="1:47" s="33" customFormat="1" ht="45.75" customHeight="1">
      <c r="A61" s="26"/>
      <c r="B61" s="167" t="s">
        <v>128</v>
      </c>
      <c r="C61" s="169" t="s">
        <v>31</v>
      </c>
      <c r="D61" s="165" t="s">
        <v>11</v>
      </c>
      <c r="E61" s="37" t="s">
        <v>24</v>
      </c>
      <c r="F61" s="172" t="s">
        <v>29</v>
      </c>
      <c r="G61" s="38">
        <v>4.49</v>
      </c>
      <c r="H61" s="47" t="s">
        <v>348</v>
      </c>
      <c r="I61" s="53">
        <f t="shared" si="3"/>
        <v>79459.53</v>
      </c>
      <c r="J61" s="53">
        <f t="shared" si="4"/>
        <v>19864.8825</v>
      </c>
      <c r="K61" s="53">
        <f t="shared" si="5"/>
        <v>99324.412500000006</v>
      </c>
      <c r="L61" s="53">
        <f t="shared" si="6"/>
        <v>198648.82500000001</v>
      </c>
      <c r="M61" s="41">
        <v>5.5</v>
      </c>
      <c r="N61" s="41">
        <v>7</v>
      </c>
      <c r="O61" s="51">
        <f t="shared" si="7"/>
        <v>12.5</v>
      </c>
      <c r="P61" s="42">
        <f t="shared" si="8"/>
        <v>68285.533593750006</v>
      </c>
      <c r="Q61" s="42">
        <f t="shared" si="9"/>
        <v>86908.860937500009</v>
      </c>
      <c r="R61" s="42">
        <f t="shared" si="10"/>
        <v>155194.39453125</v>
      </c>
      <c r="S61" s="43">
        <f t="shared" si="11"/>
        <v>15519.439453125</v>
      </c>
      <c r="T61" s="41"/>
      <c r="U61" s="49">
        <f t="shared" si="19"/>
        <v>0</v>
      </c>
      <c r="V61" s="35">
        <f t="shared" si="12"/>
        <v>12.5</v>
      </c>
      <c r="W61" s="53">
        <f t="shared" si="1"/>
        <v>46558.318359375</v>
      </c>
      <c r="X61" s="53"/>
      <c r="Y61" s="48"/>
      <c r="Z61" s="53">
        <f t="shared" si="13"/>
        <v>0</v>
      </c>
      <c r="AA61" s="54"/>
      <c r="AB61" s="54"/>
      <c r="AC61" s="41"/>
      <c r="AD61" s="44">
        <f t="shared" si="14"/>
        <v>0</v>
      </c>
      <c r="AE61" s="44">
        <f t="shared" si="15"/>
        <v>0</v>
      </c>
      <c r="AF61" s="44"/>
      <c r="AG61" s="44"/>
      <c r="AH61" s="35">
        <f t="shared" si="16"/>
        <v>0</v>
      </c>
      <c r="AI61" s="35">
        <f t="shared" si="17"/>
        <v>0</v>
      </c>
      <c r="AJ61" s="41"/>
      <c r="AK61" s="41"/>
      <c r="AL61" s="41"/>
      <c r="AM61" s="41"/>
      <c r="AN61" s="35">
        <f t="shared" si="18"/>
        <v>0</v>
      </c>
      <c r="AO61" s="45">
        <f t="shared" si="2"/>
        <v>217272.15234375</v>
      </c>
      <c r="AP61" s="185"/>
      <c r="AQ61" s="185"/>
      <c r="AR61" s="185"/>
      <c r="AS61" s="185"/>
      <c r="AT61" s="185"/>
      <c r="AU61" s="185"/>
    </row>
    <row r="62" spans="1:47" s="33" customFormat="1" ht="37.5" customHeight="1">
      <c r="A62" s="59">
        <v>18</v>
      </c>
      <c r="B62" s="247" t="s">
        <v>107</v>
      </c>
      <c r="C62" s="169" t="s">
        <v>21</v>
      </c>
      <c r="D62" s="165" t="s">
        <v>11</v>
      </c>
      <c r="E62" s="37" t="s">
        <v>24</v>
      </c>
      <c r="F62" s="172" t="s">
        <v>29</v>
      </c>
      <c r="G62" s="38">
        <v>4.67</v>
      </c>
      <c r="H62" s="47" t="s">
        <v>349</v>
      </c>
      <c r="I62" s="53">
        <f t="shared" si="3"/>
        <v>82644.990000000005</v>
      </c>
      <c r="J62" s="53">
        <f t="shared" si="4"/>
        <v>20661.247500000001</v>
      </c>
      <c r="K62" s="53">
        <f t="shared" si="5"/>
        <v>103306.2375</v>
      </c>
      <c r="L62" s="53">
        <f t="shared" si="6"/>
        <v>206612.47500000001</v>
      </c>
      <c r="M62" s="41"/>
      <c r="N62" s="41">
        <v>1</v>
      </c>
      <c r="O62" s="51">
        <f t="shared" si="7"/>
        <v>1</v>
      </c>
      <c r="P62" s="42">
        <f t="shared" si="8"/>
        <v>0</v>
      </c>
      <c r="Q62" s="42">
        <f t="shared" si="9"/>
        <v>12913.2796875</v>
      </c>
      <c r="R62" s="42">
        <f t="shared" si="10"/>
        <v>12913.2796875</v>
      </c>
      <c r="S62" s="43">
        <f t="shared" si="11"/>
        <v>1291.3279687500001</v>
      </c>
      <c r="T62" s="41"/>
      <c r="U62" s="49">
        <f t="shared" si="19"/>
        <v>0</v>
      </c>
      <c r="V62" s="35">
        <f t="shared" si="12"/>
        <v>1</v>
      </c>
      <c r="W62" s="53">
        <f t="shared" si="1"/>
        <v>3873.98390625</v>
      </c>
      <c r="X62" s="53"/>
      <c r="Y62" s="48"/>
      <c r="Z62" s="53">
        <f t="shared" si="13"/>
        <v>0</v>
      </c>
      <c r="AA62" s="54"/>
      <c r="AB62" s="54"/>
      <c r="AC62" s="41"/>
      <c r="AD62" s="44">
        <f t="shared" si="14"/>
        <v>0</v>
      </c>
      <c r="AE62" s="44">
        <f t="shared" si="15"/>
        <v>0</v>
      </c>
      <c r="AF62" s="44"/>
      <c r="AG62" s="44"/>
      <c r="AH62" s="35">
        <f t="shared" si="16"/>
        <v>0</v>
      </c>
      <c r="AI62" s="35">
        <f t="shared" si="17"/>
        <v>0</v>
      </c>
      <c r="AJ62" s="41"/>
      <c r="AK62" s="41"/>
      <c r="AL62" s="41"/>
      <c r="AM62" s="41"/>
      <c r="AN62" s="35">
        <f t="shared" si="18"/>
        <v>0</v>
      </c>
      <c r="AO62" s="45">
        <f t="shared" si="2"/>
        <v>18078.591562500002</v>
      </c>
      <c r="AP62" s="185"/>
      <c r="AQ62" s="185"/>
      <c r="AR62" s="185"/>
      <c r="AS62" s="185"/>
      <c r="AT62" s="185"/>
      <c r="AU62" s="185"/>
    </row>
    <row r="63" spans="1:47" s="33" customFormat="1" ht="45.75" customHeight="1">
      <c r="A63" s="189">
        <v>19</v>
      </c>
      <c r="B63" s="247" t="s">
        <v>108</v>
      </c>
      <c r="C63" s="162" t="s">
        <v>21</v>
      </c>
      <c r="D63" s="165" t="s">
        <v>11</v>
      </c>
      <c r="E63" s="37" t="s">
        <v>24</v>
      </c>
      <c r="F63" s="172" t="s">
        <v>29</v>
      </c>
      <c r="G63" s="38">
        <v>4.7300000000000004</v>
      </c>
      <c r="H63" s="47" t="s">
        <v>350</v>
      </c>
      <c r="I63" s="53">
        <f t="shared" si="3"/>
        <v>83706.810000000012</v>
      </c>
      <c r="J63" s="53">
        <f t="shared" si="4"/>
        <v>20926.702500000003</v>
      </c>
      <c r="K63" s="53">
        <f t="shared" si="5"/>
        <v>104633.51250000001</v>
      </c>
      <c r="L63" s="53">
        <f t="shared" si="6"/>
        <v>209267.02500000002</v>
      </c>
      <c r="M63" s="41"/>
      <c r="N63" s="41">
        <v>1</v>
      </c>
      <c r="O63" s="51">
        <f t="shared" si="7"/>
        <v>1</v>
      </c>
      <c r="P63" s="42">
        <f t="shared" si="8"/>
        <v>0</v>
      </c>
      <c r="Q63" s="42">
        <f t="shared" si="9"/>
        <v>13079.189062500001</v>
      </c>
      <c r="R63" s="42">
        <f t="shared" si="10"/>
        <v>13079.189062500001</v>
      </c>
      <c r="S63" s="43">
        <f t="shared" si="11"/>
        <v>1307.9189062500002</v>
      </c>
      <c r="T63" s="41"/>
      <c r="U63" s="49">
        <f t="shared" si="19"/>
        <v>0</v>
      </c>
      <c r="V63" s="35">
        <f t="shared" si="12"/>
        <v>1</v>
      </c>
      <c r="W63" s="53">
        <f t="shared" si="1"/>
        <v>3923.7567187500003</v>
      </c>
      <c r="X63" s="53"/>
      <c r="Y63" s="48"/>
      <c r="Z63" s="53">
        <f t="shared" si="13"/>
        <v>0</v>
      </c>
      <c r="AA63" s="54"/>
      <c r="AB63" s="54"/>
      <c r="AC63" s="41"/>
      <c r="AD63" s="44">
        <f t="shared" si="14"/>
        <v>0</v>
      </c>
      <c r="AE63" s="44">
        <f t="shared" si="15"/>
        <v>0</v>
      </c>
      <c r="AF63" s="44"/>
      <c r="AG63" s="44"/>
      <c r="AH63" s="35">
        <f t="shared" si="16"/>
        <v>0</v>
      </c>
      <c r="AI63" s="35">
        <f t="shared" si="17"/>
        <v>0</v>
      </c>
      <c r="AJ63" s="41"/>
      <c r="AK63" s="41"/>
      <c r="AL63" s="41"/>
      <c r="AM63" s="41"/>
      <c r="AN63" s="35">
        <f t="shared" si="18"/>
        <v>0</v>
      </c>
      <c r="AO63" s="45">
        <f t="shared" si="2"/>
        <v>18310.864687500001</v>
      </c>
      <c r="AP63" s="185"/>
      <c r="AQ63" s="185"/>
      <c r="AR63" s="185"/>
      <c r="AS63" s="185"/>
      <c r="AT63" s="185"/>
      <c r="AU63" s="185"/>
    </row>
    <row r="64" spans="1:47" s="22" customFormat="1" ht="45.75" customHeight="1">
      <c r="A64" s="21">
        <v>20</v>
      </c>
      <c r="B64" s="162" t="s">
        <v>113</v>
      </c>
      <c r="C64" s="169" t="s">
        <v>99</v>
      </c>
      <c r="D64" s="163" t="s">
        <v>110</v>
      </c>
      <c r="E64" s="36" t="s">
        <v>24</v>
      </c>
      <c r="F64" s="173" t="s">
        <v>34</v>
      </c>
      <c r="G64" s="39">
        <v>3.73</v>
      </c>
      <c r="H64" s="47" t="s">
        <v>351</v>
      </c>
      <c r="I64" s="53">
        <f t="shared" si="3"/>
        <v>66009.81</v>
      </c>
      <c r="J64" s="53">
        <f t="shared" si="4"/>
        <v>16502.452499999999</v>
      </c>
      <c r="K64" s="53">
        <f t="shared" si="5"/>
        <v>82512.262499999997</v>
      </c>
      <c r="L64" s="53">
        <f t="shared" si="6"/>
        <v>165024.52499999999</v>
      </c>
      <c r="M64" s="35">
        <v>18</v>
      </c>
      <c r="N64" s="35"/>
      <c r="O64" s="51">
        <f t="shared" si="7"/>
        <v>18</v>
      </c>
      <c r="P64" s="42">
        <f t="shared" si="8"/>
        <v>185652.59062499998</v>
      </c>
      <c r="Q64" s="42">
        <f t="shared" si="9"/>
        <v>0</v>
      </c>
      <c r="R64" s="42">
        <f t="shared" si="10"/>
        <v>185652.59062499998</v>
      </c>
      <c r="S64" s="43">
        <f t="shared" si="11"/>
        <v>18565.259062499998</v>
      </c>
      <c r="T64" s="35"/>
      <c r="U64" s="49">
        <f t="shared" si="19"/>
        <v>0</v>
      </c>
      <c r="V64" s="35">
        <f t="shared" si="12"/>
        <v>18</v>
      </c>
      <c r="W64" s="53">
        <f t="shared" si="1"/>
        <v>55695.777187499996</v>
      </c>
      <c r="X64" s="53"/>
      <c r="Y64" s="42"/>
      <c r="Z64" s="53">
        <f t="shared" si="13"/>
        <v>0</v>
      </c>
      <c r="AA64" s="61"/>
      <c r="AB64" s="61"/>
      <c r="AC64" s="35"/>
      <c r="AD64" s="44">
        <f t="shared" si="14"/>
        <v>0</v>
      </c>
      <c r="AE64" s="44">
        <f t="shared" si="15"/>
        <v>0</v>
      </c>
      <c r="AF64" s="183">
        <v>0.5</v>
      </c>
      <c r="AG64" s="44"/>
      <c r="AH64" s="35">
        <f t="shared" si="16"/>
        <v>4424.25</v>
      </c>
      <c r="AI64" s="35">
        <f t="shared" si="17"/>
        <v>0</v>
      </c>
      <c r="AJ64" s="35"/>
      <c r="AK64" s="35"/>
      <c r="AL64" s="35"/>
      <c r="AM64" s="35"/>
      <c r="AN64" s="35">
        <f t="shared" si="18"/>
        <v>0</v>
      </c>
      <c r="AO64" s="45">
        <f t="shared" si="2"/>
        <v>264337.87687499996</v>
      </c>
      <c r="AP64" s="185"/>
      <c r="AQ64" s="185"/>
      <c r="AR64" s="185"/>
      <c r="AS64" s="185"/>
      <c r="AT64" s="185"/>
      <c r="AU64" s="185"/>
    </row>
    <row r="65" spans="1:47" s="22" customFormat="1" ht="45.75" customHeight="1">
      <c r="A65" s="21">
        <v>21</v>
      </c>
      <c r="B65" s="162" t="s">
        <v>109</v>
      </c>
      <c r="C65" s="162" t="s">
        <v>99</v>
      </c>
      <c r="D65" s="162" t="s">
        <v>110</v>
      </c>
      <c r="E65" s="36" t="s">
        <v>47</v>
      </c>
      <c r="F65" s="173" t="s">
        <v>112</v>
      </c>
      <c r="G65" s="39">
        <v>4.3899999999999997</v>
      </c>
      <c r="H65" s="46" t="s">
        <v>352</v>
      </c>
      <c r="I65" s="53">
        <f t="shared" si="3"/>
        <v>77689.829999999987</v>
      </c>
      <c r="J65" s="53">
        <f t="shared" si="4"/>
        <v>19422.457499999997</v>
      </c>
      <c r="K65" s="53">
        <f t="shared" si="5"/>
        <v>97112.287499999977</v>
      </c>
      <c r="L65" s="53">
        <f t="shared" si="6"/>
        <v>194224.57499999995</v>
      </c>
      <c r="M65" s="35">
        <v>20</v>
      </c>
      <c r="N65" s="35"/>
      <c r="O65" s="51">
        <f t="shared" si="7"/>
        <v>20</v>
      </c>
      <c r="P65" s="42">
        <f t="shared" si="8"/>
        <v>242780.71874999994</v>
      </c>
      <c r="Q65" s="42">
        <f t="shared" si="9"/>
        <v>0</v>
      </c>
      <c r="R65" s="42">
        <f t="shared" si="10"/>
        <v>242780.71874999994</v>
      </c>
      <c r="S65" s="43">
        <f t="shared" si="11"/>
        <v>24278.071874999994</v>
      </c>
      <c r="T65" s="35"/>
      <c r="U65" s="49">
        <f t="shared" si="19"/>
        <v>0</v>
      </c>
      <c r="V65" s="35">
        <f t="shared" si="12"/>
        <v>20</v>
      </c>
      <c r="W65" s="53">
        <f t="shared" si="1"/>
        <v>72834.215624999983</v>
      </c>
      <c r="X65" s="61">
        <v>20</v>
      </c>
      <c r="Y65" s="42">
        <v>35</v>
      </c>
      <c r="Z65" s="53">
        <f t="shared" si="13"/>
        <v>84973.251562499965</v>
      </c>
      <c r="AA65" s="61"/>
      <c r="AB65" s="181">
        <v>8</v>
      </c>
      <c r="AC65" s="35"/>
      <c r="AD65" s="44">
        <f t="shared" si="14"/>
        <v>3539.4</v>
      </c>
      <c r="AE65" s="44">
        <f t="shared" si="15"/>
        <v>0</v>
      </c>
      <c r="AF65" s="183">
        <v>0.5</v>
      </c>
      <c r="AG65" s="44"/>
      <c r="AH65" s="35">
        <f t="shared" si="16"/>
        <v>4424.25</v>
      </c>
      <c r="AI65" s="35">
        <f t="shared" si="17"/>
        <v>0</v>
      </c>
      <c r="AJ65" s="35"/>
      <c r="AK65" s="35"/>
      <c r="AL65" s="35"/>
      <c r="AM65" s="35"/>
      <c r="AN65" s="35">
        <f t="shared" si="18"/>
        <v>0</v>
      </c>
      <c r="AO65" s="45">
        <f t="shared" si="2"/>
        <v>432829.90781249985</v>
      </c>
      <c r="AP65" s="185"/>
      <c r="AQ65" s="185"/>
      <c r="AR65" s="185"/>
      <c r="AS65" s="185"/>
      <c r="AT65" s="185"/>
      <c r="AU65" s="185"/>
    </row>
    <row r="66" spans="1:47" s="22" customFormat="1" ht="45.75" customHeight="1">
      <c r="A66" s="21">
        <v>22</v>
      </c>
      <c r="B66" s="174" t="s">
        <v>120</v>
      </c>
      <c r="C66" s="163" t="s">
        <v>99</v>
      </c>
      <c r="D66" s="162" t="s">
        <v>110</v>
      </c>
      <c r="E66" s="36" t="s">
        <v>24</v>
      </c>
      <c r="F66" s="173" t="s">
        <v>34</v>
      </c>
      <c r="G66" s="39">
        <v>3.36</v>
      </c>
      <c r="H66" s="47" t="s">
        <v>353</v>
      </c>
      <c r="I66" s="53">
        <f t="shared" si="3"/>
        <v>59461.919999999998</v>
      </c>
      <c r="J66" s="53">
        <f t="shared" si="4"/>
        <v>14865.48</v>
      </c>
      <c r="K66" s="53">
        <f t="shared" si="5"/>
        <v>74327.399999999994</v>
      </c>
      <c r="L66" s="53">
        <f t="shared" si="6"/>
        <v>148654.79999999999</v>
      </c>
      <c r="M66" s="35">
        <v>21</v>
      </c>
      <c r="N66" s="35"/>
      <c r="O66" s="51">
        <f t="shared" si="7"/>
        <v>21</v>
      </c>
      <c r="P66" s="42">
        <f t="shared" si="8"/>
        <v>195109.42499999999</v>
      </c>
      <c r="Q66" s="42">
        <f t="shared" si="9"/>
        <v>0</v>
      </c>
      <c r="R66" s="42">
        <f t="shared" si="10"/>
        <v>195109.42499999999</v>
      </c>
      <c r="S66" s="43">
        <f t="shared" si="11"/>
        <v>19510.942500000001</v>
      </c>
      <c r="T66" s="35"/>
      <c r="U66" s="49">
        <f t="shared" si="19"/>
        <v>0</v>
      </c>
      <c r="V66" s="35">
        <f t="shared" si="12"/>
        <v>21</v>
      </c>
      <c r="W66" s="53">
        <f t="shared" si="1"/>
        <v>58532.827499999992</v>
      </c>
      <c r="X66" s="53"/>
      <c r="Y66" s="42"/>
      <c r="Z66" s="53">
        <f t="shared" si="13"/>
        <v>0</v>
      </c>
      <c r="AA66" s="61"/>
      <c r="AB66" s="61">
        <v>4</v>
      </c>
      <c r="AC66" s="35"/>
      <c r="AD66" s="44">
        <f t="shared" si="14"/>
        <v>1769.7</v>
      </c>
      <c r="AE66" s="44">
        <f t="shared" si="15"/>
        <v>0</v>
      </c>
      <c r="AF66" s="183">
        <v>0.5</v>
      </c>
      <c r="AG66" s="44"/>
      <c r="AH66" s="35">
        <f t="shared" si="16"/>
        <v>4424.25</v>
      </c>
      <c r="AI66" s="35">
        <f t="shared" si="17"/>
        <v>0</v>
      </c>
      <c r="AJ66" s="35"/>
      <c r="AK66" s="35"/>
      <c r="AL66" s="35"/>
      <c r="AM66" s="35"/>
      <c r="AN66" s="35">
        <f t="shared" si="18"/>
        <v>0</v>
      </c>
      <c r="AO66" s="45">
        <f t="shared" si="2"/>
        <v>279347.14500000002</v>
      </c>
      <c r="AP66" s="185"/>
      <c r="AQ66" s="185"/>
      <c r="AR66" s="185"/>
      <c r="AS66" s="185"/>
      <c r="AT66" s="185"/>
      <c r="AU66" s="185"/>
    </row>
    <row r="67" spans="1:47" s="22" customFormat="1" ht="45.75" customHeight="1">
      <c r="A67" s="21">
        <v>23</v>
      </c>
      <c r="B67" s="175" t="s">
        <v>111</v>
      </c>
      <c r="C67" s="163" t="s">
        <v>99</v>
      </c>
      <c r="D67" s="163" t="s">
        <v>110</v>
      </c>
      <c r="E67" s="36" t="s">
        <v>46</v>
      </c>
      <c r="F67" s="173" t="s">
        <v>124</v>
      </c>
      <c r="G67" s="39">
        <v>3.85</v>
      </c>
      <c r="H67" s="47" t="s">
        <v>354</v>
      </c>
      <c r="I67" s="53">
        <f t="shared" si="3"/>
        <v>68133.45</v>
      </c>
      <c r="J67" s="53">
        <f t="shared" si="4"/>
        <v>17033.362499999999</v>
      </c>
      <c r="K67" s="53">
        <f t="shared" si="5"/>
        <v>85166.8125</v>
      </c>
      <c r="L67" s="53">
        <f t="shared" si="6"/>
        <v>170333.625</v>
      </c>
      <c r="M67" s="35">
        <v>20</v>
      </c>
      <c r="N67" s="35"/>
      <c r="O67" s="51">
        <f t="shared" si="7"/>
        <v>20</v>
      </c>
      <c r="P67" s="42">
        <f t="shared" si="8"/>
        <v>212917.03125</v>
      </c>
      <c r="Q67" s="42">
        <f t="shared" si="9"/>
        <v>0</v>
      </c>
      <c r="R67" s="42">
        <f t="shared" si="10"/>
        <v>212917.03125</v>
      </c>
      <c r="S67" s="43">
        <f t="shared" si="11"/>
        <v>21291.703125</v>
      </c>
      <c r="T67" s="35"/>
      <c r="U67" s="49">
        <f t="shared" si="19"/>
        <v>0</v>
      </c>
      <c r="V67" s="35">
        <f t="shared" si="12"/>
        <v>20</v>
      </c>
      <c r="W67" s="53">
        <f>L67*0.3/16*V67</f>
        <v>63875.109375</v>
      </c>
      <c r="X67" s="53">
        <v>20</v>
      </c>
      <c r="Y67" s="42">
        <v>30</v>
      </c>
      <c r="Z67" s="53">
        <f t="shared" si="13"/>
        <v>63875.109375</v>
      </c>
      <c r="AA67" s="61"/>
      <c r="AB67" s="61">
        <v>4</v>
      </c>
      <c r="AC67" s="35"/>
      <c r="AD67" s="44">
        <f t="shared" si="14"/>
        <v>1769.7</v>
      </c>
      <c r="AE67" s="44">
        <f t="shared" si="15"/>
        <v>0</v>
      </c>
      <c r="AF67" s="183">
        <v>0.5</v>
      </c>
      <c r="AG67" s="44"/>
      <c r="AH67" s="35">
        <f t="shared" si="16"/>
        <v>4424.25</v>
      </c>
      <c r="AI67" s="35">
        <f t="shared" si="17"/>
        <v>0</v>
      </c>
      <c r="AJ67" s="35"/>
      <c r="AK67" s="35"/>
      <c r="AL67" s="35"/>
      <c r="AM67" s="35"/>
      <c r="AN67" s="35">
        <f t="shared" si="18"/>
        <v>0</v>
      </c>
      <c r="AO67" s="45">
        <f t="shared" si="2"/>
        <v>368152.90312500001</v>
      </c>
      <c r="AP67" s="185"/>
      <c r="AQ67" s="185"/>
      <c r="AR67" s="185"/>
      <c r="AS67" s="185"/>
      <c r="AT67" s="185"/>
      <c r="AU67" s="185"/>
    </row>
    <row r="68" spans="1:47" s="17" customFormat="1" ht="36" customHeight="1">
      <c r="A68" s="21"/>
      <c r="B68" s="51" t="s">
        <v>8</v>
      </c>
      <c r="C68" s="35"/>
      <c r="D68" s="35"/>
      <c r="E68" s="41"/>
      <c r="F68" s="39"/>
      <c r="G68" s="39"/>
      <c r="H68" s="46"/>
      <c r="I68" s="60">
        <f>17697*G68</f>
        <v>0</v>
      </c>
      <c r="J68" s="60"/>
      <c r="K68" s="42">
        <f>SUM(K43:K67)</f>
        <v>2556110.4375000009</v>
      </c>
      <c r="L68" s="44"/>
      <c r="M68" s="182">
        <f>SUM(M43:M67)</f>
        <v>149.5</v>
      </c>
      <c r="N68" s="182">
        <f t="shared" ref="N68:O68" si="20">SUM(N43:N67)</f>
        <v>196</v>
      </c>
      <c r="O68" s="182">
        <f t="shared" si="20"/>
        <v>345.5</v>
      </c>
      <c r="P68" s="178">
        <f t="shared" ref="P68:W68" si="21">SUM(P43:P67)</f>
        <v>1761031.2351562502</v>
      </c>
      <c r="Q68" s="178">
        <f t="shared" si="21"/>
        <v>2594960.8828125</v>
      </c>
      <c r="R68" s="178">
        <f t="shared" si="21"/>
        <v>4355992.1179687493</v>
      </c>
      <c r="S68" s="178">
        <f t="shared" si="21"/>
        <v>435599.211796875</v>
      </c>
      <c r="T68" s="178">
        <f t="shared" si="21"/>
        <v>0</v>
      </c>
      <c r="U68" s="178">
        <f t="shared" si="21"/>
        <v>0</v>
      </c>
      <c r="V68" s="182">
        <f t="shared" si="21"/>
        <v>345.5</v>
      </c>
      <c r="W68" s="178">
        <f t="shared" si="21"/>
        <v>1306797.6353906249</v>
      </c>
      <c r="X68" s="178"/>
      <c r="Y68" s="178">
        <f t="shared" ref="Y68:AO68" si="22">SUM(Y43:Y67)</f>
        <v>395</v>
      </c>
      <c r="Z68" s="178">
        <f t="shared" si="22"/>
        <v>779244.53507812484</v>
      </c>
      <c r="AA68" s="178">
        <f t="shared" si="22"/>
        <v>0</v>
      </c>
      <c r="AB68" s="182">
        <f t="shared" si="22"/>
        <v>42.5</v>
      </c>
      <c r="AC68" s="182">
        <f t="shared" si="22"/>
        <v>16</v>
      </c>
      <c r="AD68" s="178">
        <f t="shared" si="22"/>
        <v>18803.0625</v>
      </c>
      <c r="AE68" s="178">
        <f t="shared" si="22"/>
        <v>8848.5</v>
      </c>
      <c r="AF68" s="178">
        <f t="shared" si="22"/>
        <v>3</v>
      </c>
      <c r="AG68" s="178">
        <f t="shared" si="22"/>
        <v>3</v>
      </c>
      <c r="AH68" s="178">
        <f t="shared" si="22"/>
        <v>26545.5</v>
      </c>
      <c r="AI68" s="178">
        <f t="shared" si="22"/>
        <v>31854.599999999995</v>
      </c>
      <c r="AJ68" s="178">
        <f t="shared" si="22"/>
        <v>0</v>
      </c>
      <c r="AK68" s="178">
        <f t="shared" si="22"/>
        <v>0</v>
      </c>
      <c r="AL68" s="178">
        <f t="shared" si="22"/>
        <v>0</v>
      </c>
      <c r="AM68" s="178">
        <f t="shared" si="22"/>
        <v>1</v>
      </c>
      <c r="AN68" s="178">
        <f t="shared" si="22"/>
        <v>17697</v>
      </c>
      <c r="AO68" s="178">
        <f t="shared" si="22"/>
        <v>6981383.1627343753</v>
      </c>
      <c r="AP68" s="186"/>
      <c r="AQ68" s="186"/>
      <c r="AR68" s="186"/>
      <c r="AS68" s="186"/>
      <c r="AT68" s="186"/>
      <c r="AU68" s="186"/>
    </row>
    <row r="69" spans="1:47" s="3" customFormat="1" ht="33.75" customHeight="1">
      <c r="A69" s="16"/>
      <c r="B69" s="18" t="s">
        <v>10</v>
      </c>
      <c r="C69" s="19"/>
      <c r="D69" s="18"/>
      <c r="E69" s="30"/>
      <c r="F69" s="30"/>
      <c r="G69" s="30"/>
      <c r="H69" s="30"/>
      <c r="I69" s="20"/>
      <c r="J69" s="20"/>
      <c r="K69" s="20"/>
      <c r="L69" s="20"/>
      <c r="M69" s="18"/>
      <c r="N69" s="18"/>
      <c r="O69" s="18"/>
      <c r="P69" s="18"/>
      <c r="Q69" s="18"/>
      <c r="R69" s="18" t="s">
        <v>53</v>
      </c>
      <c r="S69" s="18"/>
      <c r="T69" s="18"/>
      <c r="U69" s="18"/>
      <c r="V69" s="18"/>
      <c r="W69" s="18"/>
      <c r="X69" s="18"/>
      <c r="Y69" s="25"/>
      <c r="Z69" s="25"/>
      <c r="AA69" s="18"/>
      <c r="AB69" s="17"/>
      <c r="AC69" s="17"/>
      <c r="AD69" s="18"/>
      <c r="AE69" s="18"/>
      <c r="AF69" s="18"/>
      <c r="AG69" s="18"/>
      <c r="AH69" s="18"/>
      <c r="AI69" s="65"/>
      <c r="AJ69" s="17"/>
    </row>
    <row r="70" spans="1:47" s="3" customFormat="1" ht="34.5" hidden="1">
      <c r="A70" s="7"/>
      <c r="B70" s="13"/>
      <c r="C70" s="13"/>
      <c r="D70" s="13"/>
      <c r="E70" s="31"/>
      <c r="F70" s="31"/>
      <c r="G70" s="31"/>
      <c r="H70" s="31"/>
      <c r="I70" s="14"/>
      <c r="J70" s="14"/>
      <c r="K70" s="14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5"/>
      <c r="Z70" s="15"/>
      <c r="AA70" s="15"/>
      <c r="AB70" s="10"/>
      <c r="AC70" s="10"/>
      <c r="AD70" s="13"/>
      <c r="AE70" s="13"/>
      <c r="AF70" s="13"/>
      <c r="AG70" s="13"/>
      <c r="AH70" s="13"/>
      <c r="AI70" s="13"/>
    </row>
    <row r="71" spans="1:47" ht="35.25">
      <c r="A71" s="4"/>
      <c r="B71" s="13"/>
      <c r="C71" s="4"/>
      <c r="D71" s="4"/>
      <c r="E71" s="32"/>
      <c r="F71" s="32"/>
      <c r="G71" s="32"/>
      <c r="H71" s="32"/>
      <c r="I71" s="5"/>
      <c r="J71" s="5"/>
      <c r="K71" s="5"/>
      <c r="L71" s="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6"/>
      <c r="AC71" s="6"/>
      <c r="AD71" s="4"/>
      <c r="AE71" s="4"/>
      <c r="AF71" s="4"/>
      <c r="AG71" s="4"/>
      <c r="AH71" s="4"/>
      <c r="AI71" s="4"/>
      <c r="AJ71" s="3"/>
    </row>
    <row r="72" spans="1:47" ht="35.25">
      <c r="B72" s="4"/>
    </row>
  </sheetData>
  <mergeCells count="76">
    <mergeCell ref="B46:B47"/>
    <mergeCell ref="F46:F47"/>
    <mergeCell ref="B52:B53"/>
    <mergeCell ref="F52:F53"/>
    <mergeCell ref="AO41:AO42"/>
    <mergeCell ref="J41:J42"/>
    <mergeCell ref="F41:F42"/>
    <mergeCell ref="G41:G42"/>
    <mergeCell ref="H41:H42"/>
    <mergeCell ref="K41:K42"/>
    <mergeCell ref="B50:B51"/>
    <mergeCell ref="L41:L42"/>
    <mergeCell ref="E41:E42"/>
    <mergeCell ref="AP41:AU42"/>
    <mergeCell ref="AH42:AI42"/>
    <mergeCell ref="V41:W41"/>
    <mergeCell ref="R41:R42"/>
    <mergeCell ref="S41:S42"/>
    <mergeCell ref="T41:U41"/>
    <mergeCell ref="A41:A42"/>
    <mergeCell ref="A50:A51"/>
    <mergeCell ref="B41:B42"/>
    <mergeCell ref="X2:AJ2"/>
    <mergeCell ref="R3:U3"/>
    <mergeCell ref="X3:AJ3"/>
    <mergeCell ref="P4:U4"/>
    <mergeCell ref="X4:AJ4"/>
    <mergeCell ref="C41:C42"/>
    <mergeCell ref="D41:D42"/>
    <mergeCell ref="I41:I42"/>
    <mergeCell ref="P7:U7"/>
    <mergeCell ref="B5:F5"/>
    <mergeCell ref="G5:O5"/>
    <mergeCell ref="X13:AJ13"/>
    <mergeCell ref="V6:V7"/>
    <mergeCell ref="X10:AJ10"/>
    <mergeCell ref="X11:AJ11"/>
    <mergeCell ref="X12:AJ12"/>
    <mergeCell ref="X5:AJ5"/>
    <mergeCell ref="X6:AJ7"/>
    <mergeCell ref="X8:AJ8"/>
    <mergeCell ref="X9:AJ9"/>
    <mergeCell ref="B7:F7"/>
    <mergeCell ref="G7:O7"/>
    <mergeCell ref="AM6:AM7"/>
    <mergeCell ref="AN6:AN7"/>
    <mergeCell ref="AO6:AO7"/>
    <mergeCell ref="AL6:AL7"/>
    <mergeCell ref="AK6:AK7"/>
    <mergeCell ref="X25:AJ25"/>
    <mergeCell ref="X14:AJ14"/>
    <mergeCell ref="X15:AJ15"/>
    <mergeCell ref="X16:AJ16"/>
    <mergeCell ref="X17:AJ17"/>
    <mergeCell ref="X18:AJ18"/>
    <mergeCell ref="X19:AJ19"/>
    <mergeCell ref="X20:AJ20"/>
    <mergeCell ref="X21:AJ21"/>
    <mergeCell ref="X22:AJ22"/>
    <mergeCell ref="X23:AJ23"/>
    <mergeCell ref="X24:AJ24"/>
    <mergeCell ref="X26:AJ26"/>
    <mergeCell ref="X27:AJ27"/>
    <mergeCell ref="X28:AJ28"/>
    <mergeCell ref="X29:AJ29"/>
    <mergeCell ref="X30:AJ30"/>
    <mergeCell ref="X31:AJ31"/>
    <mergeCell ref="AA41:AA42"/>
    <mergeCell ref="M41:O41"/>
    <mergeCell ref="P41:Q41"/>
    <mergeCell ref="X41:Z41"/>
    <mergeCell ref="AB41:AN41"/>
    <mergeCell ref="V32:AJ32"/>
    <mergeCell ref="M34:AB34"/>
    <mergeCell ref="M33:O33"/>
    <mergeCell ref="AM42:AN42"/>
  </mergeCells>
  <phoneticPr fontId="20" type="noConversion"/>
  <pageMargins left="0.31496062992125984" right="0.11811023622047245" top="0.39370078740157483" bottom="0.15748031496062992" header="0.31496062992125984" footer="0.19685039370078741"/>
  <pageSetup paperSize="9" scale="40" firstPageNumber="0" fitToWidth="3" orientation="landscape" r:id="rId1"/>
  <headerFooter alignWithMargins="0"/>
  <colBreaks count="1" manualBreakCount="1">
    <brk id="19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2"/>
  <sheetViews>
    <sheetView tabSelected="1" zoomScaleSheetLayoutView="100" workbookViewId="0">
      <selection activeCell="T32" sqref="T32"/>
    </sheetView>
  </sheetViews>
  <sheetFormatPr defaultColWidth="8.85546875" defaultRowHeight="12.75"/>
  <cols>
    <col min="1" max="1" width="2.7109375" style="254" customWidth="1"/>
    <col min="2" max="2" width="18.28515625" style="254" customWidth="1"/>
    <col min="3" max="3" width="17.28515625" style="254" bestFit="1" customWidth="1"/>
    <col min="4" max="4" width="5.28515625" style="254" customWidth="1"/>
    <col min="5" max="5" width="4.85546875" style="254" bestFit="1" customWidth="1"/>
    <col min="6" max="6" width="5" style="254" bestFit="1" customWidth="1"/>
    <col min="7" max="7" width="3.85546875" style="254" customWidth="1"/>
    <col min="8" max="8" width="4.85546875" style="254" bestFit="1" customWidth="1"/>
    <col min="9" max="9" width="4.5703125" style="254" customWidth="1"/>
    <col min="10" max="10" width="6.28515625" style="254" customWidth="1"/>
    <col min="11" max="11" width="4.85546875" style="254" bestFit="1" customWidth="1"/>
    <col min="12" max="12" width="5.42578125" style="254" bestFit="1" customWidth="1"/>
    <col min="13" max="13" width="4.85546875" style="254" customWidth="1"/>
    <col min="14" max="14" width="5.140625" style="254" customWidth="1"/>
    <col min="15" max="16" width="5" style="254" bestFit="1" customWidth="1"/>
    <col min="17" max="17" width="6.28515625" style="254" bestFit="1" customWidth="1"/>
    <col min="18" max="18" width="3.5703125" style="254" bestFit="1" customWidth="1"/>
    <col min="19" max="19" width="3.7109375" style="254" customWidth="1"/>
    <col min="20" max="20" width="8.28515625" style="254" bestFit="1" customWidth="1"/>
    <col min="21" max="21" width="8.5703125" style="254" customWidth="1"/>
    <col min="22" max="16384" width="8.85546875" style="254"/>
  </cols>
  <sheetData>
    <row r="2" spans="1:21">
      <c r="A2" s="249"/>
      <c r="B2" s="250"/>
      <c r="C2" s="523" t="s">
        <v>328</v>
      </c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251"/>
      <c r="P2" s="250"/>
      <c r="Q2" s="250"/>
      <c r="R2" s="250"/>
      <c r="S2" s="252" t="s">
        <v>222</v>
      </c>
      <c r="T2" s="252"/>
      <c r="U2" s="253"/>
    </row>
    <row r="3" spans="1:21">
      <c r="A3" s="249"/>
      <c r="B3" s="249"/>
      <c r="C3" s="249" t="s">
        <v>223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49"/>
      <c r="Q3" s="249"/>
      <c r="R3" s="249"/>
      <c r="S3" s="256" t="s">
        <v>224</v>
      </c>
      <c r="T3" s="249"/>
      <c r="U3" s="257"/>
    </row>
    <row r="4" spans="1:2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9"/>
    </row>
    <row r="5" spans="1:21">
      <c r="A5" s="524" t="s">
        <v>225</v>
      </c>
      <c r="B5" s="524" t="s">
        <v>226</v>
      </c>
      <c r="C5" s="524" t="s">
        <v>227</v>
      </c>
      <c r="D5" s="525" t="s">
        <v>228</v>
      </c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260"/>
      <c r="U5" s="261"/>
    </row>
    <row r="6" spans="1:21">
      <c r="A6" s="524"/>
      <c r="B6" s="524"/>
      <c r="C6" s="524"/>
      <c r="D6" s="262" t="s">
        <v>303</v>
      </c>
      <c r="E6" s="263" t="s">
        <v>302</v>
      </c>
      <c r="F6" s="264" t="s">
        <v>304</v>
      </c>
      <c r="G6" s="265" t="s">
        <v>229</v>
      </c>
      <c r="H6" s="264" t="s">
        <v>305</v>
      </c>
      <c r="I6" s="264" t="s">
        <v>230</v>
      </c>
      <c r="J6" s="266" t="s">
        <v>231</v>
      </c>
      <c r="K6" s="264" t="s">
        <v>306</v>
      </c>
      <c r="L6" s="265" t="s">
        <v>307</v>
      </c>
      <c r="M6" s="267" t="s">
        <v>232</v>
      </c>
      <c r="N6" s="265" t="s">
        <v>233</v>
      </c>
      <c r="O6" s="264" t="s">
        <v>234</v>
      </c>
      <c r="P6" s="265" t="s">
        <v>235</v>
      </c>
      <c r="Q6" s="266" t="s">
        <v>236</v>
      </c>
      <c r="R6" s="265">
        <v>10</v>
      </c>
      <c r="S6" s="265">
        <v>11</v>
      </c>
      <c r="T6" s="266" t="s">
        <v>237</v>
      </c>
      <c r="U6" s="268" t="s">
        <v>238</v>
      </c>
    </row>
    <row r="7" spans="1:21">
      <c r="A7" s="526" t="s">
        <v>239</v>
      </c>
      <c r="B7" s="527"/>
      <c r="C7" s="528"/>
      <c r="D7" s="269">
        <v>9</v>
      </c>
      <c r="E7" s="269">
        <v>9</v>
      </c>
      <c r="F7" s="270">
        <v>8</v>
      </c>
      <c r="G7" s="270">
        <v>6</v>
      </c>
      <c r="H7" s="270">
        <v>5</v>
      </c>
      <c r="I7" s="270">
        <v>11</v>
      </c>
      <c r="J7" s="271">
        <v>37</v>
      </c>
      <c r="K7" s="270">
        <v>9</v>
      </c>
      <c r="L7" s="270">
        <v>6</v>
      </c>
      <c r="M7" s="272">
        <v>3</v>
      </c>
      <c r="N7" s="270">
        <v>5</v>
      </c>
      <c r="O7" s="270">
        <v>6</v>
      </c>
      <c r="P7" s="270">
        <v>4</v>
      </c>
      <c r="Q7" s="271">
        <f>SUM(K7:P7)</f>
        <v>33</v>
      </c>
      <c r="R7" s="270"/>
      <c r="S7" s="270"/>
      <c r="T7" s="271">
        <f>SUM(R7:S7)</f>
        <v>0</v>
      </c>
      <c r="U7" s="273">
        <f>SUM(T7,Q7,J7)</f>
        <v>70</v>
      </c>
    </row>
    <row r="8" spans="1:21">
      <c r="A8" s="274">
        <v>1</v>
      </c>
      <c r="B8" s="274" t="s">
        <v>240</v>
      </c>
      <c r="C8" s="275" t="s">
        <v>241</v>
      </c>
      <c r="D8" s="275"/>
      <c r="E8" s="275"/>
      <c r="F8" s="275"/>
      <c r="G8" s="275"/>
      <c r="H8" s="275"/>
      <c r="I8" s="275"/>
      <c r="J8" s="271">
        <f>SUM(D8:I8)</f>
        <v>0</v>
      </c>
      <c r="K8" s="275">
        <v>0.75</v>
      </c>
      <c r="L8" s="275">
        <v>0.75</v>
      </c>
      <c r="M8" s="283">
        <v>0.75</v>
      </c>
      <c r="N8" s="275">
        <v>1.25</v>
      </c>
      <c r="O8" s="275">
        <v>1.25</v>
      </c>
      <c r="P8" s="275">
        <v>1.25</v>
      </c>
      <c r="Q8" s="271">
        <f>SUM(K8:P8)</f>
        <v>6</v>
      </c>
      <c r="R8" s="275"/>
      <c r="S8" s="275"/>
      <c r="T8" s="271">
        <f t="shared" ref="T8:T23" si="0">SUM(R8:S8)</f>
        <v>0</v>
      </c>
      <c r="U8" s="273">
        <f t="shared" ref="U8:U23" si="1">SUM(T8,Q8,J8)</f>
        <v>6</v>
      </c>
    </row>
    <row r="9" spans="1:21">
      <c r="A9" s="276">
        <v>2</v>
      </c>
      <c r="B9" s="276" t="s">
        <v>308</v>
      </c>
      <c r="C9" s="275" t="s">
        <v>106</v>
      </c>
      <c r="D9" s="275"/>
      <c r="E9" s="275"/>
      <c r="F9" s="275"/>
      <c r="G9" s="275"/>
      <c r="H9" s="275"/>
      <c r="I9" s="275"/>
      <c r="J9" s="271">
        <f t="shared" ref="J9:J23" si="2">SUM(D9:I9)</f>
        <v>0</v>
      </c>
      <c r="K9" s="275">
        <v>0.25</v>
      </c>
      <c r="L9" s="275">
        <v>0.25</v>
      </c>
      <c r="M9" s="283">
        <v>0.5</v>
      </c>
      <c r="N9" s="275"/>
      <c r="O9" s="275">
        <v>0.5</v>
      </c>
      <c r="P9" s="275">
        <v>0.5</v>
      </c>
      <c r="Q9" s="271">
        <f t="shared" ref="Q9:Q23" si="3">SUM(K9:P9)</f>
        <v>2</v>
      </c>
      <c r="R9" s="277"/>
      <c r="S9" s="275"/>
      <c r="T9" s="271">
        <f t="shared" si="0"/>
        <v>0</v>
      </c>
      <c r="U9" s="273">
        <f t="shared" si="1"/>
        <v>2</v>
      </c>
    </row>
    <row r="10" spans="1:21">
      <c r="A10" s="276">
        <v>3</v>
      </c>
      <c r="B10" s="278" t="s">
        <v>122</v>
      </c>
      <c r="C10" s="275" t="s">
        <v>242</v>
      </c>
      <c r="D10" s="275"/>
      <c r="E10" s="275"/>
      <c r="F10" s="275"/>
      <c r="G10" s="275"/>
      <c r="H10" s="275"/>
      <c r="I10" s="275"/>
      <c r="J10" s="271">
        <f t="shared" si="2"/>
        <v>0</v>
      </c>
      <c r="K10" s="275">
        <v>1.25</v>
      </c>
      <c r="L10" s="275">
        <v>1.25</v>
      </c>
      <c r="M10" s="283">
        <v>1.25</v>
      </c>
      <c r="N10" s="275">
        <v>1.25</v>
      </c>
      <c r="O10" s="275">
        <v>1.25</v>
      </c>
      <c r="P10" s="275">
        <v>1.25</v>
      </c>
      <c r="Q10" s="271">
        <f t="shared" si="3"/>
        <v>7.5</v>
      </c>
      <c r="R10" s="277"/>
      <c r="S10" s="275"/>
      <c r="T10" s="271">
        <v>0</v>
      </c>
      <c r="U10" s="273">
        <f t="shared" si="1"/>
        <v>7.5</v>
      </c>
    </row>
    <row r="11" spans="1:21">
      <c r="A11" s="274">
        <v>4</v>
      </c>
      <c r="B11" s="274" t="s">
        <v>92</v>
      </c>
      <c r="C11" s="275" t="s">
        <v>243</v>
      </c>
      <c r="D11" s="275"/>
      <c r="E11" s="275"/>
      <c r="F11" s="275"/>
      <c r="G11" s="275">
        <v>0.5</v>
      </c>
      <c r="H11" s="275">
        <v>2</v>
      </c>
      <c r="I11" s="275">
        <v>0.5</v>
      </c>
      <c r="J11" s="271">
        <f t="shared" si="2"/>
        <v>3</v>
      </c>
      <c r="K11" s="275"/>
      <c r="L11" s="275"/>
      <c r="M11" s="283"/>
      <c r="N11" s="275">
        <v>1.25</v>
      </c>
      <c r="O11" s="275">
        <v>1.25</v>
      </c>
      <c r="P11" s="275">
        <v>1.25</v>
      </c>
      <c r="Q11" s="271">
        <f t="shared" si="3"/>
        <v>3.75</v>
      </c>
      <c r="R11" s="275"/>
      <c r="S11" s="275"/>
      <c r="T11" s="271">
        <f t="shared" si="0"/>
        <v>0</v>
      </c>
      <c r="U11" s="273">
        <f t="shared" si="1"/>
        <v>6.75</v>
      </c>
    </row>
    <row r="12" spans="1:21">
      <c r="A12" s="276">
        <v>5</v>
      </c>
      <c r="B12" s="278" t="s">
        <v>120</v>
      </c>
      <c r="C12" s="279" t="s">
        <v>244</v>
      </c>
      <c r="D12" s="275"/>
      <c r="E12" s="275"/>
      <c r="F12" s="275">
        <v>4</v>
      </c>
      <c r="G12" s="275"/>
      <c r="H12" s="275"/>
      <c r="I12" s="275"/>
      <c r="J12" s="271">
        <f t="shared" si="2"/>
        <v>4</v>
      </c>
      <c r="K12" s="275"/>
      <c r="L12" s="275"/>
      <c r="M12" s="283"/>
      <c r="N12" s="275"/>
      <c r="O12" s="275"/>
      <c r="P12" s="275"/>
      <c r="Q12" s="271">
        <f t="shared" si="3"/>
        <v>0</v>
      </c>
      <c r="R12" s="275"/>
      <c r="S12" s="275"/>
      <c r="T12" s="271">
        <f t="shared" si="0"/>
        <v>0</v>
      </c>
      <c r="U12" s="273">
        <f t="shared" si="1"/>
        <v>4</v>
      </c>
    </row>
    <row r="13" spans="1:21">
      <c r="A13" s="276">
        <v>6</v>
      </c>
      <c r="B13" s="276" t="s">
        <v>127</v>
      </c>
      <c r="C13" s="275" t="s">
        <v>245</v>
      </c>
      <c r="D13" s="275">
        <v>0.5</v>
      </c>
      <c r="E13" s="275">
        <v>0.5</v>
      </c>
      <c r="F13" s="275">
        <v>0.5</v>
      </c>
      <c r="G13" s="275"/>
      <c r="H13" s="275">
        <v>0.5</v>
      </c>
      <c r="I13" s="275">
        <v>0.5</v>
      </c>
      <c r="J13" s="271">
        <f t="shared" si="2"/>
        <v>2.5</v>
      </c>
      <c r="K13" s="275">
        <v>0.75</v>
      </c>
      <c r="L13" s="275">
        <v>0.75</v>
      </c>
      <c r="M13" s="283">
        <v>0.75</v>
      </c>
      <c r="N13" s="275">
        <v>0.75</v>
      </c>
      <c r="O13" s="275">
        <v>0.75</v>
      </c>
      <c r="P13" s="275">
        <v>0.75</v>
      </c>
      <c r="Q13" s="271">
        <f t="shared" si="3"/>
        <v>4.5</v>
      </c>
      <c r="R13" s="275"/>
      <c r="S13" s="275"/>
      <c r="T13" s="271">
        <f t="shared" si="0"/>
        <v>0</v>
      </c>
      <c r="U13" s="273">
        <f t="shared" si="1"/>
        <v>7</v>
      </c>
    </row>
    <row r="14" spans="1:21">
      <c r="A14" s="274">
        <v>7</v>
      </c>
      <c r="B14" s="274" t="s">
        <v>246</v>
      </c>
      <c r="C14" s="275" t="s">
        <v>244</v>
      </c>
      <c r="D14" s="275">
        <v>4</v>
      </c>
      <c r="E14" s="275"/>
      <c r="F14" s="275"/>
      <c r="G14" s="275"/>
      <c r="H14" s="275"/>
      <c r="I14" s="275"/>
      <c r="J14" s="271">
        <f t="shared" si="2"/>
        <v>4</v>
      </c>
      <c r="K14" s="275"/>
      <c r="L14" s="275"/>
      <c r="M14" s="283"/>
      <c r="N14" s="275"/>
      <c r="O14" s="275"/>
      <c r="P14" s="275"/>
      <c r="Q14" s="271">
        <f t="shared" si="3"/>
        <v>0</v>
      </c>
      <c r="R14" s="275"/>
      <c r="S14" s="275"/>
      <c r="T14" s="271">
        <f t="shared" si="0"/>
        <v>0</v>
      </c>
      <c r="U14" s="273">
        <f t="shared" si="1"/>
        <v>4</v>
      </c>
    </row>
    <row r="15" spans="1:21">
      <c r="A15" s="519">
        <v>9</v>
      </c>
      <c r="B15" s="521" t="s">
        <v>247</v>
      </c>
      <c r="C15" s="275" t="s">
        <v>248</v>
      </c>
      <c r="D15" s="275"/>
      <c r="E15" s="275"/>
      <c r="F15" s="275"/>
      <c r="G15" s="275"/>
      <c r="H15" s="275"/>
      <c r="I15" s="275"/>
      <c r="J15" s="271">
        <f t="shared" si="2"/>
        <v>0</v>
      </c>
      <c r="K15" s="275"/>
      <c r="L15" s="275">
        <v>0.25</v>
      </c>
      <c r="M15" s="283">
        <v>0.25</v>
      </c>
      <c r="N15" s="275"/>
      <c r="O15" s="275">
        <v>0.25</v>
      </c>
      <c r="P15" s="275">
        <v>0.25</v>
      </c>
      <c r="Q15" s="271">
        <f t="shared" si="3"/>
        <v>1</v>
      </c>
      <c r="R15" s="275"/>
      <c r="S15" s="275"/>
      <c r="T15" s="271">
        <f t="shared" si="0"/>
        <v>0</v>
      </c>
      <c r="U15" s="273">
        <f t="shared" si="1"/>
        <v>1</v>
      </c>
    </row>
    <row r="16" spans="1:21">
      <c r="A16" s="520"/>
      <c r="B16" s="522"/>
      <c r="C16" s="275" t="s">
        <v>249</v>
      </c>
      <c r="D16" s="275"/>
      <c r="E16" s="275"/>
      <c r="F16" s="275"/>
      <c r="G16" s="275"/>
      <c r="H16" s="275"/>
      <c r="I16" s="275"/>
      <c r="J16" s="271">
        <f t="shared" si="2"/>
        <v>0</v>
      </c>
      <c r="K16" s="275"/>
      <c r="L16" s="275">
        <v>0.25</v>
      </c>
      <c r="M16" s="283">
        <v>0.25</v>
      </c>
      <c r="N16" s="275"/>
      <c r="O16" s="275">
        <v>0.25</v>
      </c>
      <c r="P16" s="275">
        <v>0.25</v>
      </c>
      <c r="Q16" s="271">
        <f t="shared" si="3"/>
        <v>1</v>
      </c>
      <c r="R16" s="275"/>
      <c r="S16" s="275"/>
      <c r="T16" s="271">
        <f t="shared" si="0"/>
        <v>0</v>
      </c>
      <c r="U16" s="273">
        <f t="shared" si="1"/>
        <v>1</v>
      </c>
    </row>
    <row r="17" spans="1:21">
      <c r="A17" s="280">
        <v>10</v>
      </c>
      <c r="B17" s="281" t="s">
        <v>100</v>
      </c>
      <c r="C17" s="275" t="s">
        <v>243</v>
      </c>
      <c r="D17" s="275"/>
      <c r="E17" s="275"/>
      <c r="F17" s="275"/>
      <c r="G17" s="275"/>
      <c r="H17" s="275"/>
      <c r="I17" s="275"/>
      <c r="J17" s="271">
        <f t="shared" si="2"/>
        <v>0</v>
      </c>
      <c r="K17" s="275"/>
      <c r="L17" s="275"/>
      <c r="M17" s="283">
        <v>0.75</v>
      </c>
      <c r="N17" s="275"/>
      <c r="O17" s="275"/>
      <c r="P17" s="275"/>
      <c r="Q17" s="271">
        <f t="shared" si="3"/>
        <v>0.75</v>
      </c>
      <c r="R17" s="275"/>
      <c r="S17" s="275"/>
      <c r="T17" s="271">
        <v>0</v>
      </c>
      <c r="U17" s="273">
        <f t="shared" si="1"/>
        <v>0.75</v>
      </c>
    </row>
    <row r="18" spans="1:21">
      <c r="A18" s="280">
        <v>11</v>
      </c>
      <c r="B18" s="281" t="s">
        <v>95</v>
      </c>
      <c r="C18" s="275" t="s">
        <v>243</v>
      </c>
      <c r="D18" s="275"/>
      <c r="E18" s="275"/>
      <c r="F18" s="275"/>
      <c r="G18" s="275"/>
      <c r="H18" s="275"/>
      <c r="I18" s="275"/>
      <c r="J18" s="271">
        <f t="shared" si="2"/>
        <v>0</v>
      </c>
      <c r="K18" s="275"/>
      <c r="L18" s="275">
        <v>0.75</v>
      </c>
      <c r="M18" s="283"/>
      <c r="N18" s="275"/>
      <c r="O18" s="275"/>
      <c r="P18" s="275"/>
      <c r="Q18" s="271">
        <f t="shared" si="3"/>
        <v>0.75</v>
      </c>
      <c r="R18" s="275"/>
      <c r="S18" s="275"/>
      <c r="T18" s="271">
        <v>0</v>
      </c>
      <c r="U18" s="273">
        <f t="shared" si="1"/>
        <v>0.75</v>
      </c>
    </row>
    <row r="19" spans="1:21">
      <c r="A19" s="274">
        <v>12</v>
      </c>
      <c r="B19" s="282" t="s">
        <v>109</v>
      </c>
      <c r="C19" s="275" t="s">
        <v>244</v>
      </c>
      <c r="D19" s="275"/>
      <c r="E19" s="275"/>
      <c r="F19" s="275"/>
      <c r="G19" s="275"/>
      <c r="H19" s="275"/>
      <c r="I19" s="283">
        <v>8</v>
      </c>
      <c r="J19" s="271">
        <f t="shared" si="2"/>
        <v>8</v>
      </c>
      <c r="K19" s="275"/>
      <c r="L19" s="275"/>
      <c r="M19" s="283"/>
      <c r="N19" s="275"/>
      <c r="O19" s="275"/>
      <c r="P19" s="275"/>
      <c r="Q19" s="271">
        <f t="shared" si="3"/>
        <v>0</v>
      </c>
      <c r="R19" s="275"/>
      <c r="S19" s="275"/>
      <c r="T19" s="271">
        <f t="shared" si="0"/>
        <v>0</v>
      </c>
      <c r="U19" s="273">
        <f t="shared" si="1"/>
        <v>8</v>
      </c>
    </row>
    <row r="20" spans="1:21">
      <c r="A20" s="274">
        <v>13</v>
      </c>
      <c r="B20" s="274" t="s">
        <v>250</v>
      </c>
      <c r="C20" s="275" t="s">
        <v>244</v>
      </c>
      <c r="D20" s="275"/>
      <c r="E20" s="275"/>
      <c r="F20" s="275"/>
      <c r="G20" s="275"/>
      <c r="H20" s="275">
        <v>4</v>
      </c>
      <c r="I20" s="275"/>
      <c r="J20" s="271">
        <f t="shared" si="2"/>
        <v>4</v>
      </c>
      <c r="K20" s="275"/>
      <c r="L20" s="275"/>
      <c r="M20" s="283"/>
      <c r="N20" s="275"/>
      <c r="O20" s="275"/>
      <c r="P20" s="275"/>
      <c r="Q20" s="271">
        <f t="shared" si="3"/>
        <v>0</v>
      </c>
      <c r="R20" s="275"/>
      <c r="S20" s="275"/>
      <c r="T20" s="271">
        <f t="shared" si="0"/>
        <v>0</v>
      </c>
      <c r="U20" s="273">
        <f t="shared" si="1"/>
        <v>4</v>
      </c>
    </row>
    <row r="21" spans="1:21">
      <c r="A21" s="274">
        <v>14</v>
      </c>
      <c r="B21" s="284" t="s">
        <v>251</v>
      </c>
      <c r="C21" s="275" t="s">
        <v>244</v>
      </c>
      <c r="D21" s="275"/>
      <c r="E21" s="275">
        <v>4</v>
      </c>
      <c r="F21" s="275"/>
      <c r="G21" s="275"/>
      <c r="H21" s="275"/>
      <c r="I21" s="275"/>
      <c r="J21" s="271">
        <f t="shared" si="2"/>
        <v>4</v>
      </c>
      <c r="K21" s="275"/>
      <c r="L21" s="275"/>
      <c r="M21" s="283"/>
      <c r="N21" s="275"/>
      <c r="O21" s="275"/>
      <c r="P21" s="275"/>
      <c r="Q21" s="271">
        <f t="shared" si="3"/>
        <v>0</v>
      </c>
      <c r="R21" s="275"/>
      <c r="S21" s="275"/>
      <c r="T21" s="271">
        <f t="shared" si="0"/>
        <v>0</v>
      </c>
      <c r="U21" s="273">
        <f t="shared" si="1"/>
        <v>4</v>
      </c>
    </row>
    <row r="22" spans="1:21" s="285" customFormat="1">
      <c r="A22" s="274">
        <v>16</v>
      </c>
      <c r="B22" s="274" t="s">
        <v>190</v>
      </c>
      <c r="C22" s="275" t="s">
        <v>241</v>
      </c>
      <c r="D22" s="283">
        <v>0.25</v>
      </c>
      <c r="E22" s="283">
        <v>0.25</v>
      </c>
      <c r="F22" s="275">
        <v>0.5</v>
      </c>
      <c r="G22" s="275"/>
      <c r="H22" s="275"/>
      <c r="I22" s="275"/>
      <c r="J22" s="271">
        <f t="shared" si="2"/>
        <v>1</v>
      </c>
      <c r="K22" s="275"/>
      <c r="L22" s="275"/>
      <c r="M22" s="283"/>
      <c r="N22" s="275"/>
      <c r="O22" s="275"/>
      <c r="P22" s="275"/>
      <c r="Q22" s="271">
        <f t="shared" si="3"/>
        <v>0</v>
      </c>
      <c r="R22" s="275"/>
      <c r="S22" s="275"/>
      <c r="T22" s="271">
        <v>0</v>
      </c>
      <c r="U22" s="273">
        <f t="shared" si="1"/>
        <v>1</v>
      </c>
    </row>
    <row r="23" spans="1:21">
      <c r="A23" s="274">
        <v>17</v>
      </c>
      <c r="B23" s="274" t="s">
        <v>94</v>
      </c>
      <c r="C23" s="275" t="s">
        <v>243</v>
      </c>
      <c r="D23" s="275"/>
      <c r="E23" s="275"/>
      <c r="F23" s="275"/>
      <c r="G23" s="275"/>
      <c r="H23" s="275"/>
      <c r="I23" s="275"/>
      <c r="J23" s="271">
        <f t="shared" si="2"/>
        <v>0</v>
      </c>
      <c r="K23" s="275">
        <v>0.75</v>
      </c>
      <c r="L23" s="275"/>
      <c r="M23" s="283"/>
      <c r="N23" s="275"/>
      <c r="O23" s="275"/>
      <c r="P23" s="275"/>
      <c r="Q23" s="271">
        <f t="shared" si="3"/>
        <v>0.75</v>
      </c>
      <c r="R23" s="275"/>
      <c r="S23" s="275"/>
      <c r="T23" s="271">
        <f t="shared" si="0"/>
        <v>0</v>
      </c>
      <c r="U23" s="273">
        <f t="shared" si="1"/>
        <v>0.75</v>
      </c>
    </row>
    <row r="24" spans="1:21">
      <c r="A24" s="274"/>
      <c r="B24" s="286" t="s">
        <v>252</v>
      </c>
      <c r="C24" s="275"/>
      <c r="D24" s="288">
        <f t="shared" ref="D24:U24" si="4">SUM(D8:D23)</f>
        <v>4.75</v>
      </c>
      <c r="E24" s="288">
        <f t="shared" si="4"/>
        <v>4.75</v>
      </c>
      <c r="F24" s="288">
        <f t="shared" si="4"/>
        <v>5</v>
      </c>
      <c r="G24" s="289">
        <f t="shared" si="4"/>
        <v>0.5</v>
      </c>
      <c r="H24" s="289">
        <f t="shared" si="4"/>
        <v>6.5</v>
      </c>
      <c r="I24" s="289">
        <f t="shared" si="4"/>
        <v>9</v>
      </c>
      <c r="J24" s="289">
        <f t="shared" si="4"/>
        <v>30.5</v>
      </c>
      <c r="K24" s="288">
        <f t="shared" si="4"/>
        <v>3.75</v>
      </c>
      <c r="L24" s="288">
        <f t="shared" si="4"/>
        <v>4.25</v>
      </c>
      <c r="M24" s="289">
        <f t="shared" si="4"/>
        <v>4.5</v>
      </c>
      <c r="N24" s="289">
        <f t="shared" si="4"/>
        <v>4.5</v>
      </c>
      <c r="O24" s="289">
        <f t="shared" si="4"/>
        <v>5.5</v>
      </c>
      <c r="P24" s="289">
        <f t="shared" si="4"/>
        <v>5.5</v>
      </c>
      <c r="Q24" s="287">
        <f t="shared" si="4"/>
        <v>28</v>
      </c>
      <c r="R24" s="289">
        <f t="shared" si="4"/>
        <v>0</v>
      </c>
      <c r="S24" s="289">
        <f t="shared" si="4"/>
        <v>0</v>
      </c>
      <c r="T24" s="288">
        <f t="shared" si="4"/>
        <v>0</v>
      </c>
      <c r="U24" s="288">
        <f t="shared" si="4"/>
        <v>58.5</v>
      </c>
    </row>
    <row r="25" spans="1:21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9"/>
    </row>
    <row r="26" spans="1:21">
      <c r="A26" s="258"/>
      <c r="B26" s="290" t="s">
        <v>253</v>
      </c>
      <c r="C26" s="290"/>
      <c r="D26" s="259" t="s">
        <v>215</v>
      </c>
      <c r="E26" s="259"/>
      <c r="F26" s="259"/>
      <c r="G26" s="259"/>
      <c r="H26" s="259"/>
      <c r="I26" s="259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9"/>
    </row>
    <row r="27" spans="1:21">
      <c r="B27" s="258"/>
      <c r="C27" s="290"/>
      <c r="D27" s="259"/>
      <c r="E27" s="259"/>
      <c r="F27" s="259"/>
      <c r="G27" s="259"/>
      <c r="H27" s="259"/>
      <c r="I27" s="259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9"/>
    </row>
    <row r="28" spans="1:21">
      <c r="A28" s="258"/>
      <c r="B28" s="291" t="s">
        <v>254</v>
      </c>
      <c r="C28" s="291"/>
      <c r="D28" s="259" t="s">
        <v>255</v>
      </c>
      <c r="E28" s="259"/>
      <c r="F28" s="259"/>
      <c r="G28" s="259"/>
      <c r="H28" s="259"/>
      <c r="I28" s="259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9"/>
    </row>
    <row r="29" spans="1:21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9"/>
      <c r="S29" s="258"/>
      <c r="T29" s="258"/>
    </row>
    <row r="30" spans="1:2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9"/>
      <c r="S30" s="258"/>
      <c r="T30" s="258"/>
    </row>
    <row r="31" spans="1:21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</row>
    <row r="32" spans="1:21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</row>
  </sheetData>
  <mergeCells count="8">
    <mergeCell ref="A15:A16"/>
    <mergeCell ref="B15:B16"/>
    <mergeCell ref="C2:N2"/>
    <mergeCell ref="A5:A6"/>
    <mergeCell ref="B5:B6"/>
    <mergeCell ref="C5:C6"/>
    <mergeCell ref="D5:S5"/>
    <mergeCell ref="A7:C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8"/>
  <sheetViews>
    <sheetView zoomScale="85" zoomScaleNormal="85" workbookViewId="0">
      <pane xSplit="6" ySplit="6" topLeftCell="AE7" activePane="bottomRight" state="frozen"/>
      <selection pane="topRight" activeCell="G1" sqref="G1"/>
      <selection pane="bottomLeft" activeCell="A7" sqref="A7"/>
      <selection pane="bottomRight" sqref="A1:BJ38"/>
    </sheetView>
  </sheetViews>
  <sheetFormatPr defaultColWidth="8.85546875" defaultRowHeight="12.75"/>
  <cols>
    <col min="1" max="1" width="3.5703125" style="254" bestFit="1" customWidth="1"/>
    <col min="2" max="2" width="19.85546875" style="254" customWidth="1"/>
    <col min="3" max="3" width="24.28515625" style="254" customWidth="1"/>
    <col min="4" max="4" width="5.85546875" style="254" customWidth="1"/>
    <col min="5" max="5" width="5.5703125" style="254" customWidth="1"/>
    <col min="6" max="6" width="5.42578125" style="254" customWidth="1"/>
    <col min="7" max="8" width="3.5703125" style="254" bestFit="1" customWidth="1"/>
    <col min="9" max="9" width="5" style="254" bestFit="1" customWidth="1"/>
    <col min="10" max="10" width="3.5703125" style="254" bestFit="1" customWidth="1"/>
    <col min="11" max="11" width="3.28515625" style="254" bestFit="1" customWidth="1"/>
    <col min="12" max="12" width="5.140625" style="254" bestFit="1" customWidth="1"/>
    <col min="13" max="13" width="4.5703125" style="254" customWidth="1"/>
    <col min="14" max="18" width="6.140625" style="254" bestFit="1" customWidth="1"/>
    <col min="19" max="19" width="3.28515625" style="254" bestFit="1" customWidth="1"/>
    <col min="20" max="20" width="6.7109375" style="254" bestFit="1" customWidth="1"/>
    <col min="21" max="22" width="3.28515625" style="254" bestFit="1" customWidth="1"/>
    <col min="23" max="23" width="6.28515625" style="254" bestFit="1" customWidth="1"/>
    <col min="24" max="24" width="6.140625" style="254" bestFit="1" customWidth="1"/>
    <col min="25" max="25" width="3.28515625" style="254" customWidth="1"/>
    <col min="26" max="26" width="4" style="254" customWidth="1"/>
    <col min="27" max="30" width="5" style="254" bestFit="1" customWidth="1"/>
    <col min="31" max="31" width="6.85546875" style="254" bestFit="1" customWidth="1"/>
    <col min="32" max="33" width="5.140625" style="254" bestFit="1" customWidth="1"/>
    <col min="34" max="34" width="5" style="254" bestFit="1" customWidth="1"/>
    <col min="35" max="35" width="5.7109375" style="254" bestFit="1" customWidth="1"/>
    <col min="36" max="37" width="5" style="254" bestFit="1" customWidth="1"/>
    <col min="38" max="38" width="6.140625" style="254" bestFit="1" customWidth="1"/>
    <col min="39" max="40" width="5" style="254" bestFit="1" customWidth="1"/>
    <col min="41" max="41" width="6" style="254" customWidth="1"/>
    <col min="42" max="42" width="6.28515625" style="254" bestFit="1" customWidth="1"/>
    <col min="43" max="48" width="5" style="254" bestFit="1" customWidth="1"/>
    <col min="49" max="49" width="6.85546875" style="254" bestFit="1" customWidth="1"/>
    <col min="50" max="51" width="5.140625" style="254" bestFit="1" customWidth="1"/>
    <col min="52" max="52" width="5" style="254" bestFit="1" customWidth="1"/>
    <col min="53" max="53" width="5.7109375" style="254" bestFit="1" customWidth="1"/>
    <col min="54" max="55" width="5" style="254" bestFit="1" customWidth="1"/>
    <col min="56" max="56" width="6.85546875" style="254" bestFit="1" customWidth="1"/>
    <col min="57" max="58" width="5" style="254" bestFit="1" customWidth="1"/>
    <col min="59" max="59" width="6" style="254" customWidth="1"/>
    <col min="60" max="60" width="6.28515625" style="254" bestFit="1" customWidth="1"/>
    <col min="61" max="62" width="7.140625" style="254" bestFit="1" customWidth="1"/>
    <col min="63" max="16384" width="8.85546875" style="254"/>
  </cols>
  <sheetData>
    <row r="1" spans="1:62">
      <c r="A1" s="293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</row>
    <row r="2" spans="1:62">
      <c r="A2" s="295"/>
      <c r="B2" s="296"/>
      <c r="C2" s="540" t="s">
        <v>329</v>
      </c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297"/>
      <c r="W2" s="297"/>
      <c r="X2" s="298"/>
      <c r="Y2" s="299"/>
      <c r="Z2" s="299" t="s">
        <v>222</v>
      </c>
      <c r="AA2" s="299"/>
      <c r="AB2" s="299"/>
      <c r="AC2" s="299"/>
      <c r="AD2" s="299"/>
      <c r="AE2" s="300"/>
      <c r="AF2" s="299"/>
      <c r="AG2" s="301"/>
      <c r="AH2" s="301"/>
      <c r="AI2" s="301"/>
      <c r="AJ2" s="301"/>
      <c r="AK2" s="301"/>
      <c r="AL2" s="302"/>
      <c r="AM2" s="301"/>
      <c r="AN2" s="301"/>
      <c r="AO2" s="301"/>
      <c r="AP2" s="302"/>
      <c r="AQ2" s="302"/>
      <c r="AR2" s="302"/>
      <c r="AS2" s="301"/>
      <c r="AT2" s="301"/>
      <c r="AU2" s="301"/>
      <c r="AV2" s="301"/>
      <c r="AW2" s="302"/>
      <c r="AX2" s="301"/>
      <c r="AY2" s="301"/>
      <c r="AZ2" s="301"/>
      <c r="BA2" s="301"/>
      <c r="BB2" s="301"/>
      <c r="BC2" s="301"/>
      <c r="BD2" s="302"/>
      <c r="BE2" s="301"/>
      <c r="BF2" s="301"/>
      <c r="BG2" s="301"/>
      <c r="BH2" s="302"/>
      <c r="BI2" s="301"/>
      <c r="BJ2" s="301"/>
    </row>
    <row r="3" spans="1:62">
      <c r="A3" s="295"/>
      <c r="B3" s="303"/>
      <c r="C3" s="301" t="s">
        <v>223</v>
      </c>
      <c r="D3" s="301"/>
      <c r="E3" s="301"/>
      <c r="F3" s="301"/>
      <c r="G3" s="304"/>
      <c r="H3" s="304"/>
      <c r="I3" s="304"/>
      <c r="J3" s="304"/>
      <c r="K3" s="304"/>
      <c r="L3" s="304"/>
      <c r="M3" s="295"/>
      <c r="N3" s="304"/>
      <c r="O3" s="304"/>
      <c r="P3" s="304"/>
      <c r="Q3" s="304"/>
      <c r="R3" s="301"/>
      <c r="S3" s="301"/>
      <c r="T3" s="303"/>
      <c r="U3" s="301"/>
      <c r="V3" s="301"/>
      <c r="W3" s="301"/>
      <c r="X3" s="305"/>
      <c r="Y3" s="306" t="s">
        <v>224</v>
      </c>
      <c r="Z3" s="301"/>
      <c r="AA3" s="301"/>
      <c r="AB3" s="301"/>
      <c r="AC3" s="301"/>
      <c r="AD3" s="301"/>
      <c r="AE3" s="302"/>
      <c r="AF3" s="301"/>
      <c r="AG3" s="301"/>
      <c r="AH3" s="301"/>
      <c r="AI3" s="301"/>
      <c r="AJ3" s="301"/>
      <c r="AK3" s="301"/>
      <c r="AL3" s="302"/>
      <c r="AM3" s="301"/>
      <c r="AN3" s="301"/>
      <c r="AO3" s="301"/>
      <c r="AP3" s="302"/>
      <c r="AQ3" s="302"/>
      <c r="AR3" s="302"/>
      <c r="AS3" s="301"/>
      <c r="AT3" s="301"/>
      <c r="AU3" s="301"/>
      <c r="AV3" s="301"/>
      <c r="AW3" s="302"/>
      <c r="AX3" s="301"/>
      <c r="AY3" s="301"/>
      <c r="AZ3" s="301"/>
      <c r="BA3" s="301"/>
      <c r="BB3" s="301"/>
      <c r="BC3" s="301"/>
      <c r="BD3" s="302"/>
      <c r="BE3" s="301"/>
      <c r="BF3" s="301"/>
      <c r="BG3" s="301"/>
      <c r="BH3" s="302"/>
      <c r="BI3" s="301"/>
      <c r="BJ3" s="301"/>
    </row>
    <row r="4" spans="1:62">
      <c r="A4" s="295"/>
      <c r="B4" s="303"/>
      <c r="C4" s="307">
        <v>44927</v>
      </c>
      <c r="D4" s="301"/>
      <c r="E4" s="301"/>
      <c r="F4" s="301"/>
      <c r="G4" s="301"/>
      <c r="H4" s="301"/>
      <c r="I4" s="301"/>
      <c r="J4" s="301"/>
      <c r="K4" s="301"/>
      <c r="L4" s="301"/>
      <c r="M4" s="303"/>
      <c r="N4" s="301"/>
      <c r="O4" s="301"/>
      <c r="P4" s="301"/>
      <c r="Q4" s="301"/>
      <c r="R4" s="304"/>
      <c r="S4" s="301"/>
      <c r="T4" s="303"/>
      <c r="U4" s="301"/>
      <c r="V4" s="301"/>
      <c r="W4" s="301"/>
      <c r="X4" s="305"/>
      <c r="Y4" s="301"/>
      <c r="Z4" s="301"/>
      <c r="AA4" s="301"/>
      <c r="AB4" s="301"/>
      <c r="AC4" s="301"/>
      <c r="AD4" s="301"/>
      <c r="AE4" s="302"/>
      <c r="AF4" s="301"/>
      <c r="AG4" s="301"/>
      <c r="AH4" s="301"/>
      <c r="AI4" s="301"/>
      <c r="AJ4" s="301"/>
      <c r="AK4" s="301"/>
      <c r="AL4" s="302"/>
      <c r="AM4" s="301"/>
      <c r="AN4" s="301"/>
      <c r="AO4" s="301"/>
      <c r="AP4" s="302"/>
      <c r="AQ4" s="302"/>
      <c r="AR4" s="302"/>
      <c r="AS4" s="301"/>
      <c r="AT4" s="301"/>
      <c r="AU4" s="301"/>
      <c r="AV4" s="301"/>
      <c r="AW4" s="302"/>
      <c r="AX4" s="301"/>
      <c r="AY4" s="301"/>
      <c r="AZ4" s="301"/>
      <c r="BA4" s="301"/>
      <c r="BB4" s="301"/>
      <c r="BC4" s="301"/>
      <c r="BD4" s="302"/>
      <c r="BE4" s="301"/>
      <c r="BF4" s="301"/>
      <c r="BG4" s="301"/>
      <c r="BH4" s="302"/>
      <c r="BI4" s="301"/>
      <c r="BJ4" s="301"/>
    </row>
    <row r="5" spans="1:62">
      <c r="A5" s="541" t="s">
        <v>225</v>
      </c>
      <c r="B5" s="524" t="s">
        <v>226</v>
      </c>
      <c r="C5" s="544" t="s">
        <v>227</v>
      </c>
      <c r="D5" s="546" t="s">
        <v>256</v>
      </c>
      <c r="E5" s="308"/>
      <c r="F5" s="548" t="s">
        <v>257</v>
      </c>
      <c r="G5" s="550" t="s">
        <v>228</v>
      </c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309"/>
      <c r="X5" s="310"/>
      <c r="Y5" s="550" t="s">
        <v>258</v>
      </c>
      <c r="Z5" s="550"/>
      <c r="AA5" s="550"/>
      <c r="AB5" s="550"/>
      <c r="AC5" s="550"/>
      <c r="AD5" s="550"/>
      <c r="AE5" s="550"/>
      <c r="AF5" s="550"/>
      <c r="AG5" s="550"/>
      <c r="AH5" s="550"/>
      <c r="AI5" s="550"/>
      <c r="AJ5" s="550"/>
      <c r="AK5" s="550"/>
      <c r="AL5" s="550"/>
      <c r="AM5" s="550"/>
      <c r="AN5" s="309"/>
      <c r="AO5" s="309"/>
      <c r="AP5" s="311"/>
      <c r="AQ5" s="311"/>
      <c r="AR5" s="551" t="s">
        <v>259</v>
      </c>
      <c r="AS5" s="552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3"/>
      <c r="BH5" s="312"/>
      <c r="BI5" s="554" t="s">
        <v>260</v>
      </c>
      <c r="BJ5" s="536" t="s">
        <v>261</v>
      </c>
    </row>
    <row r="6" spans="1:62" s="327" customFormat="1" ht="28.5" customHeight="1">
      <c r="A6" s="542"/>
      <c r="B6" s="543"/>
      <c r="C6" s="545"/>
      <c r="D6" s="547"/>
      <c r="E6" s="313" t="s">
        <v>262</v>
      </c>
      <c r="F6" s="549"/>
      <c r="G6" s="314" t="s">
        <v>319</v>
      </c>
      <c r="H6" s="315" t="s">
        <v>320</v>
      </c>
      <c r="I6" s="315" t="s">
        <v>321</v>
      </c>
      <c r="J6" s="314" t="s">
        <v>263</v>
      </c>
      <c r="K6" s="316" t="s">
        <v>322</v>
      </c>
      <c r="L6" s="315" t="s">
        <v>264</v>
      </c>
      <c r="M6" s="317" t="s">
        <v>231</v>
      </c>
      <c r="N6" s="318" t="s">
        <v>323</v>
      </c>
      <c r="O6" s="319" t="s">
        <v>324</v>
      </c>
      <c r="P6" s="320" t="s">
        <v>265</v>
      </c>
      <c r="Q6" s="321" t="s">
        <v>266</v>
      </c>
      <c r="R6" s="318" t="s">
        <v>267</v>
      </c>
      <c r="S6" s="319" t="s">
        <v>268</v>
      </c>
      <c r="T6" s="322" t="s">
        <v>236</v>
      </c>
      <c r="U6" s="318">
        <v>10</v>
      </c>
      <c r="V6" s="318">
        <v>11</v>
      </c>
      <c r="W6" s="323" t="s">
        <v>237</v>
      </c>
      <c r="X6" s="324" t="s">
        <v>238</v>
      </c>
      <c r="Y6" s="319" t="s">
        <v>319</v>
      </c>
      <c r="Z6" s="325" t="s">
        <v>320</v>
      </c>
      <c r="AA6" s="318" t="s">
        <v>321</v>
      </c>
      <c r="AB6" s="319" t="s">
        <v>263</v>
      </c>
      <c r="AC6" s="318" t="s">
        <v>322</v>
      </c>
      <c r="AD6" s="318" t="s">
        <v>264</v>
      </c>
      <c r="AE6" s="324" t="s">
        <v>231</v>
      </c>
      <c r="AF6" s="318" t="s">
        <v>323</v>
      </c>
      <c r="AG6" s="326" t="s">
        <v>324</v>
      </c>
      <c r="AH6" s="321" t="s">
        <v>265</v>
      </c>
      <c r="AI6" s="321" t="s">
        <v>266</v>
      </c>
      <c r="AJ6" s="318" t="s">
        <v>267</v>
      </c>
      <c r="AK6" s="319" t="s">
        <v>268</v>
      </c>
      <c r="AL6" s="324" t="s">
        <v>236</v>
      </c>
      <c r="AM6" s="318">
        <v>10</v>
      </c>
      <c r="AN6" s="318">
        <v>11</v>
      </c>
      <c r="AO6" s="323" t="s">
        <v>237</v>
      </c>
      <c r="AP6" s="324" t="s">
        <v>238</v>
      </c>
      <c r="AQ6" s="324" t="s">
        <v>319</v>
      </c>
      <c r="AR6" s="324" t="s">
        <v>320</v>
      </c>
      <c r="AS6" s="318" t="s">
        <v>321</v>
      </c>
      <c r="AT6" s="319" t="s">
        <v>263</v>
      </c>
      <c r="AU6" s="319" t="s">
        <v>269</v>
      </c>
      <c r="AV6" s="319" t="s">
        <v>270</v>
      </c>
      <c r="AW6" s="324" t="s">
        <v>231</v>
      </c>
      <c r="AX6" s="318" t="s">
        <v>323</v>
      </c>
      <c r="AY6" s="318" t="s">
        <v>324</v>
      </c>
      <c r="AZ6" s="320" t="s">
        <v>265</v>
      </c>
      <c r="BA6" s="321" t="s">
        <v>266</v>
      </c>
      <c r="BB6" s="318" t="s">
        <v>267</v>
      </c>
      <c r="BC6" s="318" t="s">
        <v>268</v>
      </c>
      <c r="BD6" s="324" t="s">
        <v>236</v>
      </c>
      <c r="BE6" s="318">
        <v>10</v>
      </c>
      <c r="BF6" s="318">
        <v>11</v>
      </c>
      <c r="BG6" s="323" t="s">
        <v>237</v>
      </c>
      <c r="BH6" s="324" t="s">
        <v>238</v>
      </c>
      <c r="BI6" s="555"/>
      <c r="BJ6" s="537"/>
    </row>
    <row r="7" spans="1:62">
      <c r="A7" s="538">
        <v>1</v>
      </c>
      <c r="B7" s="521" t="s">
        <v>104</v>
      </c>
      <c r="C7" s="328" t="s">
        <v>249</v>
      </c>
      <c r="D7" s="284"/>
      <c r="E7" s="329"/>
      <c r="F7" s="329"/>
      <c r="G7" s="330"/>
      <c r="H7" s="331"/>
      <c r="I7" s="331"/>
      <c r="J7" s="331"/>
      <c r="K7" s="331"/>
      <c r="L7" s="331"/>
      <c r="M7" s="266">
        <f t="shared" ref="M7:M31" si="0">SUM(G7:L7)</f>
        <v>0</v>
      </c>
      <c r="N7" s="331">
        <v>2</v>
      </c>
      <c r="O7" s="331">
        <v>2</v>
      </c>
      <c r="P7" s="331">
        <v>2</v>
      </c>
      <c r="Q7" s="331"/>
      <c r="R7" s="331">
        <v>2</v>
      </c>
      <c r="S7" s="331">
        <v>2</v>
      </c>
      <c r="T7" s="266">
        <f t="shared" ref="T7:T31" si="1">SUM(N7:S7)</f>
        <v>10</v>
      </c>
      <c r="U7" s="331"/>
      <c r="V7" s="331"/>
      <c r="W7" s="266">
        <f t="shared" ref="W7:W21" si="2">SUM(U7:V7)</f>
        <v>0</v>
      </c>
      <c r="X7" s="266">
        <f t="shared" ref="X7:X31" si="3">SUM(W7,T7,M7)</f>
        <v>10</v>
      </c>
      <c r="Y7" s="330"/>
      <c r="Z7" s="331"/>
      <c r="AA7" s="331"/>
      <c r="AB7" s="331"/>
      <c r="AC7" s="331"/>
      <c r="AD7" s="331"/>
      <c r="AE7" s="266">
        <f t="shared" ref="AE7:AE31" si="4">SUM(Y7:AD7)</f>
        <v>0</v>
      </c>
      <c r="AF7" s="331"/>
      <c r="AG7" s="331"/>
      <c r="AH7" s="331"/>
      <c r="AI7" s="331"/>
      <c r="AJ7" s="331"/>
      <c r="AK7" s="331"/>
      <c r="AL7" s="266">
        <f t="shared" ref="AL7:AL31" si="5">SUM(AF7:AK7)</f>
        <v>0</v>
      </c>
      <c r="AM7" s="331"/>
      <c r="AN7" s="331"/>
      <c r="AO7" s="266">
        <f t="shared" ref="AO7:AO31" si="6">SUM(AM7:AN7)</f>
        <v>0</v>
      </c>
      <c r="AP7" s="266">
        <f t="shared" ref="AP7:AP31" si="7">SUM(AO7,AL7,AE7)</f>
        <v>0</v>
      </c>
      <c r="AQ7" s="332"/>
      <c r="AR7" s="332"/>
      <c r="AS7" s="330"/>
      <c r="AT7" s="331"/>
      <c r="AU7" s="331"/>
      <c r="AV7" s="331"/>
      <c r="AW7" s="266">
        <f t="shared" ref="AW7:AW31" si="8">SUM(AQ7:AV7)</f>
        <v>0</v>
      </c>
      <c r="AX7" s="331"/>
      <c r="AY7" s="331"/>
      <c r="AZ7" s="331"/>
      <c r="BA7" s="331"/>
      <c r="BB7" s="331"/>
      <c r="BC7" s="331"/>
      <c r="BD7" s="266">
        <f t="shared" ref="BD7:BD30" si="9">SUM(AX7:BC7)</f>
        <v>0</v>
      </c>
      <c r="BE7" s="331"/>
      <c r="BF7" s="331"/>
      <c r="BG7" s="266">
        <f t="shared" ref="BG7:BG31" si="10">SUM(BE7:BF7)</f>
        <v>0</v>
      </c>
      <c r="BH7" s="268">
        <f t="shared" ref="BH7:BH31" si="11">SUM(BG7,BD7,AW7)</f>
        <v>0</v>
      </c>
      <c r="BI7" s="333">
        <f t="shared" ref="BI7:BI31" si="12">SUM(BH7,AP7,X7)</f>
        <v>10</v>
      </c>
      <c r="BJ7" s="334">
        <f>SUM(BI7)</f>
        <v>10</v>
      </c>
    </row>
    <row r="8" spans="1:62">
      <c r="A8" s="539"/>
      <c r="B8" s="522"/>
      <c r="C8" s="328" t="s">
        <v>248</v>
      </c>
      <c r="D8" s="284"/>
      <c r="E8" s="329"/>
      <c r="F8" s="329"/>
      <c r="G8" s="330"/>
      <c r="H8" s="331"/>
      <c r="I8" s="331"/>
      <c r="J8" s="331"/>
      <c r="K8" s="331"/>
      <c r="L8" s="331"/>
      <c r="M8" s="266">
        <f t="shared" si="0"/>
        <v>0</v>
      </c>
      <c r="N8" s="331">
        <v>1</v>
      </c>
      <c r="O8" s="331">
        <v>2</v>
      </c>
      <c r="P8" s="331">
        <v>2</v>
      </c>
      <c r="Q8" s="331"/>
      <c r="R8" s="331">
        <v>2</v>
      </c>
      <c r="S8" s="331">
        <v>2</v>
      </c>
      <c r="T8" s="266">
        <f t="shared" si="1"/>
        <v>9</v>
      </c>
      <c r="U8" s="331"/>
      <c r="V8" s="331"/>
      <c r="W8" s="266"/>
      <c r="X8" s="266">
        <f t="shared" si="3"/>
        <v>9</v>
      </c>
      <c r="Y8" s="330"/>
      <c r="Z8" s="331"/>
      <c r="AA8" s="331"/>
      <c r="AB8" s="331"/>
      <c r="AC8" s="331"/>
      <c r="AD8" s="331"/>
      <c r="AE8" s="266">
        <f t="shared" si="4"/>
        <v>0</v>
      </c>
      <c r="AF8" s="331"/>
      <c r="AG8" s="331"/>
      <c r="AH8" s="331"/>
      <c r="AI8" s="331"/>
      <c r="AJ8" s="331"/>
      <c r="AK8" s="331"/>
      <c r="AL8" s="266">
        <f t="shared" si="5"/>
        <v>0</v>
      </c>
      <c r="AM8" s="331"/>
      <c r="AN8" s="331"/>
      <c r="AO8" s="266">
        <f t="shared" si="6"/>
        <v>0</v>
      </c>
      <c r="AP8" s="266">
        <f t="shared" si="7"/>
        <v>0</v>
      </c>
      <c r="AQ8" s="332"/>
      <c r="AR8" s="332"/>
      <c r="AS8" s="330"/>
      <c r="AT8" s="331"/>
      <c r="AU8" s="331"/>
      <c r="AV8" s="331"/>
      <c r="AW8" s="266">
        <f t="shared" si="8"/>
        <v>0</v>
      </c>
      <c r="AX8" s="331"/>
      <c r="AY8" s="331"/>
      <c r="AZ8" s="331"/>
      <c r="BA8" s="331"/>
      <c r="BB8" s="331"/>
      <c r="BC8" s="331"/>
      <c r="BD8" s="266">
        <f t="shared" si="9"/>
        <v>0</v>
      </c>
      <c r="BE8" s="331"/>
      <c r="BF8" s="331"/>
      <c r="BG8" s="266">
        <f t="shared" si="10"/>
        <v>0</v>
      </c>
      <c r="BH8" s="268">
        <f t="shared" si="11"/>
        <v>0</v>
      </c>
      <c r="BI8" s="333">
        <f t="shared" si="12"/>
        <v>9</v>
      </c>
      <c r="BJ8" s="334">
        <f>SUM(BI8)</f>
        <v>9</v>
      </c>
    </row>
    <row r="9" spans="1:62">
      <c r="A9" s="335">
        <v>2</v>
      </c>
      <c r="B9" s="274" t="s">
        <v>128</v>
      </c>
      <c r="C9" s="328" t="s">
        <v>106</v>
      </c>
      <c r="D9" s="284"/>
      <c r="E9" s="329"/>
      <c r="F9" s="329"/>
      <c r="G9" s="330"/>
      <c r="H9" s="331"/>
      <c r="I9" s="331"/>
      <c r="J9" s="331"/>
      <c r="K9" s="331"/>
      <c r="L9" s="331"/>
      <c r="M9" s="266">
        <f t="shared" si="0"/>
        <v>0</v>
      </c>
      <c r="N9" s="331">
        <v>2</v>
      </c>
      <c r="O9" s="331">
        <v>2</v>
      </c>
      <c r="P9" s="331">
        <v>2</v>
      </c>
      <c r="Q9" s="331"/>
      <c r="R9" s="331">
        <v>2</v>
      </c>
      <c r="S9" s="331">
        <v>2</v>
      </c>
      <c r="T9" s="266">
        <f t="shared" si="1"/>
        <v>10</v>
      </c>
      <c r="U9" s="331"/>
      <c r="V9" s="331"/>
      <c r="W9" s="266">
        <f t="shared" si="2"/>
        <v>0</v>
      </c>
      <c r="X9" s="266">
        <f t="shared" si="3"/>
        <v>10</v>
      </c>
      <c r="Y9" s="330"/>
      <c r="Z9" s="331"/>
      <c r="AA9" s="331"/>
      <c r="AB9" s="331"/>
      <c r="AC9" s="331"/>
      <c r="AD9" s="331"/>
      <c r="AE9" s="266">
        <f t="shared" si="4"/>
        <v>0</v>
      </c>
      <c r="AF9" s="331"/>
      <c r="AG9" s="331"/>
      <c r="AH9" s="331"/>
      <c r="AI9" s="331"/>
      <c r="AJ9" s="331"/>
      <c r="AK9" s="331"/>
      <c r="AL9" s="266">
        <f t="shared" si="5"/>
        <v>0</v>
      </c>
      <c r="AM9" s="336"/>
      <c r="AN9" s="336"/>
      <c r="AO9" s="266">
        <f t="shared" si="6"/>
        <v>0</v>
      </c>
      <c r="AP9" s="266">
        <f t="shared" si="7"/>
        <v>0</v>
      </c>
      <c r="AQ9" s="332"/>
      <c r="AR9" s="332"/>
      <c r="AS9" s="330"/>
      <c r="AT9" s="331"/>
      <c r="AU9" s="331"/>
      <c r="AV9" s="331"/>
      <c r="AW9" s="266">
        <f t="shared" si="8"/>
        <v>0</v>
      </c>
      <c r="AX9" s="331"/>
      <c r="AY9" s="331"/>
      <c r="AZ9" s="331"/>
      <c r="BA9" s="331"/>
      <c r="BB9" s="331"/>
      <c r="BC9" s="331"/>
      <c r="BD9" s="266">
        <f t="shared" si="9"/>
        <v>0</v>
      </c>
      <c r="BE9" s="331"/>
      <c r="BF9" s="331"/>
      <c r="BG9" s="266">
        <f t="shared" si="10"/>
        <v>0</v>
      </c>
      <c r="BH9" s="268">
        <f t="shared" si="11"/>
        <v>0</v>
      </c>
      <c r="BI9" s="333">
        <f t="shared" si="12"/>
        <v>10</v>
      </c>
      <c r="BJ9" s="334">
        <f>SUM(BI9)</f>
        <v>10</v>
      </c>
    </row>
    <row r="10" spans="1:62">
      <c r="A10" s="530">
        <v>3</v>
      </c>
      <c r="B10" s="532" t="s">
        <v>101</v>
      </c>
      <c r="C10" s="337" t="s">
        <v>271</v>
      </c>
      <c r="D10" s="284"/>
      <c r="E10" s="329"/>
      <c r="F10" s="329"/>
      <c r="G10" s="330"/>
      <c r="H10" s="331"/>
      <c r="I10" s="331"/>
      <c r="J10" s="331"/>
      <c r="K10" s="331"/>
      <c r="L10" s="331"/>
      <c r="M10" s="266">
        <f t="shared" si="0"/>
        <v>0</v>
      </c>
      <c r="N10" s="331">
        <v>1</v>
      </c>
      <c r="O10" s="331">
        <v>1</v>
      </c>
      <c r="P10" s="331">
        <v>1</v>
      </c>
      <c r="Q10" s="331">
        <v>2</v>
      </c>
      <c r="R10" s="331">
        <v>1</v>
      </c>
      <c r="S10" s="331">
        <v>1</v>
      </c>
      <c r="T10" s="266">
        <f t="shared" si="1"/>
        <v>7</v>
      </c>
      <c r="U10" s="338"/>
      <c r="V10" s="331"/>
      <c r="W10" s="266">
        <f t="shared" si="2"/>
        <v>0</v>
      </c>
      <c r="X10" s="266">
        <f t="shared" si="3"/>
        <v>7</v>
      </c>
      <c r="Y10" s="330"/>
      <c r="Z10" s="331"/>
      <c r="AA10" s="331"/>
      <c r="AB10" s="331"/>
      <c r="AC10" s="331"/>
      <c r="AD10" s="331"/>
      <c r="AE10" s="266">
        <f t="shared" si="4"/>
        <v>0</v>
      </c>
      <c r="AF10" s="331"/>
      <c r="AG10" s="331"/>
      <c r="AH10" s="336"/>
      <c r="AI10" s="336"/>
      <c r="AJ10" s="331"/>
      <c r="AK10" s="331"/>
      <c r="AL10" s="266">
        <f t="shared" si="5"/>
        <v>0</v>
      </c>
      <c r="AM10" s="338"/>
      <c r="AN10" s="331"/>
      <c r="AO10" s="266">
        <f t="shared" si="6"/>
        <v>0</v>
      </c>
      <c r="AP10" s="266">
        <f t="shared" si="7"/>
        <v>0</v>
      </c>
      <c r="AQ10" s="332"/>
      <c r="AR10" s="332"/>
      <c r="AS10" s="330"/>
      <c r="AT10" s="331"/>
      <c r="AU10" s="331"/>
      <c r="AV10" s="331"/>
      <c r="AW10" s="266">
        <f t="shared" si="8"/>
        <v>0</v>
      </c>
      <c r="AX10" s="331"/>
      <c r="AY10" s="331"/>
      <c r="AZ10" s="331"/>
      <c r="BA10" s="331"/>
      <c r="BB10" s="331"/>
      <c r="BC10" s="331"/>
      <c r="BD10" s="266">
        <f t="shared" si="9"/>
        <v>0</v>
      </c>
      <c r="BE10" s="338"/>
      <c r="BF10" s="331"/>
      <c r="BG10" s="266">
        <f t="shared" si="10"/>
        <v>0</v>
      </c>
      <c r="BH10" s="268">
        <f t="shared" si="11"/>
        <v>0</v>
      </c>
      <c r="BI10" s="333">
        <f t="shared" si="12"/>
        <v>7</v>
      </c>
      <c r="BJ10" s="534">
        <f>SUM(BI10:BI11)</f>
        <v>25</v>
      </c>
    </row>
    <row r="11" spans="1:62">
      <c r="A11" s="531"/>
      <c r="B11" s="533"/>
      <c r="C11" s="339" t="s">
        <v>22</v>
      </c>
      <c r="D11" s="284"/>
      <c r="E11" s="329"/>
      <c r="F11" s="329"/>
      <c r="G11" s="330"/>
      <c r="H11" s="331"/>
      <c r="I11" s="331"/>
      <c r="J11" s="331"/>
      <c r="K11" s="331"/>
      <c r="L11" s="331"/>
      <c r="M11" s="266">
        <f t="shared" si="0"/>
        <v>0</v>
      </c>
      <c r="N11" s="331">
        <v>3</v>
      </c>
      <c r="O11" s="331">
        <v>3</v>
      </c>
      <c r="P11" s="331">
        <v>3</v>
      </c>
      <c r="Q11" s="331">
        <v>3</v>
      </c>
      <c r="R11" s="331">
        <v>3</v>
      </c>
      <c r="S11" s="331">
        <v>3</v>
      </c>
      <c r="T11" s="266">
        <f t="shared" si="1"/>
        <v>18</v>
      </c>
      <c r="U11" s="331"/>
      <c r="V11" s="331"/>
      <c r="W11" s="266">
        <f t="shared" si="2"/>
        <v>0</v>
      </c>
      <c r="X11" s="266">
        <f t="shared" si="3"/>
        <v>18</v>
      </c>
      <c r="Y11" s="330"/>
      <c r="Z11" s="331"/>
      <c r="AA11" s="331"/>
      <c r="AB11" s="331"/>
      <c r="AC11" s="331"/>
      <c r="AD11" s="331"/>
      <c r="AE11" s="266">
        <f t="shared" si="4"/>
        <v>0</v>
      </c>
      <c r="AF11" s="331"/>
      <c r="AG11" s="340"/>
      <c r="AH11" s="279"/>
      <c r="AI11" s="279"/>
      <c r="AJ11" s="330"/>
      <c r="AK11" s="331"/>
      <c r="AL11" s="266">
        <f t="shared" si="5"/>
        <v>0</v>
      </c>
      <c r="AM11" s="331"/>
      <c r="AN11" s="331"/>
      <c r="AO11" s="266">
        <f t="shared" si="6"/>
        <v>0</v>
      </c>
      <c r="AP11" s="266">
        <f t="shared" si="7"/>
        <v>0</v>
      </c>
      <c r="AQ11" s="332"/>
      <c r="AR11" s="332"/>
      <c r="AS11" s="330"/>
      <c r="AT11" s="331"/>
      <c r="AU11" s="331"/>
      <c r="AV11" s="331"/>
      <c r="AW11" s="266">
        <f t="shared" si="8"/>
        <v>0</v>
      </c>
      <c r="AX11" s="331"/>
      <c r="AY11" s="331"/>
      <c r="AZ11" s="331"/>
      <c r="BA11" s="331"/>
      <c r="BB11" s="331"/>
      <c r="BC11" s="331"/>
      <c r="BD11" s="266">
        <f t="shared" si="9"/>
        <v>0</v>
      </c>
      <c r="BE11" s="331"/>
      <c r="BF11" s="331"/>
      <c r="BG11" s="266">
        <f t="shared" si="10"/>
        <v>0</v>
      </c>
      <c r="BH11" s="268">
        <f t="shared" si="11"/>
        <v>0</v>
      </c>
      <c r="BI11" s="333">
        <f t="shared" si="12"/>
        <v>18</v>
      </c>
      <c r="BJ11" s="534"/>
    </row>
    <row r="12" spans="1:62">
      <c r="A12" s="341">
        <v>4</v>
      </c>
      <c r="B12" s="274" t="s">
        <v>90</v>
      </c>
      <c r="C12" s="342" t="s">
        <v>272</v>
      </c>
      <c r="D12" s="284"/>
      <c r="E12" s="343"/>
      <c r="F12" s="343"/>
      <c r="G12" s="330"/>
      <c r="H12" s="331"/>
      <c r="I12" s="331"/>
      <c r="J12" s="331"/>
      <c r="K12" s="331"/>
      <c r="L12" s="331"/>
      <c r="M12" s="266">
        <f t="shared" si="0"/>
        <v>0</v>
      </c>
      <c r="N12" s="331">
        <v>3</v>
      </c>
      <c r="O12" s="331">
        <v>3</v>
      </c>
      <c r="P12" s="331">
        <v>3</v>
      </c>
      <c r="Q12" s="331">
        <v>5</v>
      </c>
      <c r="R12" s="331">
        <v>5</v>
      </c>
      <c r="S12" s="331">
        <v>5</v>
      </c>
      <c r="T12" s="266">
        <f t="shared" si="1"/>
        <v>24</v>
      </c>
      <c r="U12" s="331"/>
      <c r="V12" s="331"/>
      <c r="W12" s="266">
        <f t="shared" si="2"/>
        <v>0</v>
      </c>
      <c r="X12" s="266">
        <f t="shared" si="3"/>
        <v>24</v>
      </c>
      <c r="Y12" s="331"/>
      <c r="Z12" s="331"/>
      <c r="AA12" s="331"/>
      <c r="AB12" s="331"/>
      <c r="AC12" s="331"/>
      <c r="AD12" s="331"/>
      <c r="AE12" s="266">
        <f t="shared" si="4"/>
        <v>0</v>
      </c>
      <c r="AF12" s="331"/>
      <c r="AG12" s="340"/>
      <c r="AH12" s="279"/>
      <c r="AI12" s="279"/>
      <c r="AJ12" s="330"/>
      <c r="AK12" s="331"/>
      <c r="AL12" s="266">
        <f t="shared" si="5"/>
        <v>0</v>
      </c>
      <c r="AM12" s="331"/>
      <c r="AN12" s="331"/>
      <c r="AO12" s="266">
        <f t="shared" si="6"/>
        <v>0</v>
      </c>
      <c r="AP12" s="266">
        <f t="shared" si="7"/>
        <v>0</v>
      </c>
      <c r="AQ12" s="266"/>
      <c r="AR12" s="266"/>
      <c r="AS12" s="331"/>
      <c r="AT12" s="331"/>
      <c r="AU12" s="331"/>
      <c r="AV12" s="331"/>
      <c r="AW12" s="266">
        <f t="shared" si="8"/>
        <v>0</v>
      </c>
      <c r="AX12" s="331"/>
      <c r="AY12" s="331"/>
      <c r="AZ12" s="331"/>
      <c r="BA12" s="331"/>
      <c r="BB12" s="331"/>
      <c r="BC12" s="331"/>
      <c r="BD12" s="266">
        <f t="shared" si="9"/>
        <v>0</v>
      </c>
      <c r="BE12" s="331"/>
      <c r="BF12" s="331"/>
      <c r="BG12" s="266">
        <f t="shared" si="10"/>
        <v>0</v>
      </c>
      <c r="BH12" s="268">
        <f t="shared" si="11"/>
        <v>0</v>
      </c>
      <c r="BI12" s="333">
        <f t="shared" si="12"/>
        <v>24</v>
      </c>
      <c r="BJ12" s="334">
        <f>SUM(BI12)</f>
        <v>24</v>
      </c>
    </row>
    <row r="13" spans="1:62">
      <c r="A13" s="344">
        <v>5</v>
      </c>
      <c r="B13" s="345" t="s">
        <v>120</v>
      </c>
      <c r="C13" s="342" t="s">
        <v>244</v>
      </c>
      <c r="D13" s="284"/>
      <c r="E13" s="343"/>
      <c r="F13" s="343"/>
      <c r="G13" s="330"/>
      <c r="H13" s="331"/>
      <c r="I13" s="331">
        <v>20</v>
      </c>
      <c r="J13" s="331"/>
      <c r="K13" s="331"/>
      <c r="L13" s="331"/>
      <c r="M13" s="266">
        <f t="shared" si="0"/>
        <v>20</v>
      </c>
      <c r="N13" s="331"/>
      <c r="O13" s="331"/>
      <c r="P13" s="331"/>
      <c r="Q13" s="331"/>
      <c r="R13" s="331"/>
      <c r="S13" s="331"/>
      <c r="T13" s="266">
        <f t="shared" si="1"/>
        <v>0</v>
      </c>
      <c r="U13" s="331"/>
      <c r="V13" s="331"/>
      <c r="W13" s="266">
        <f t="shared" si="2"/>
        <v>0</v>
      </c>
      <c r="X13" s="266">
        <f t="shared" si="3"/>
        <v>20</v>
      </c>
      <c r="Y13" s="331"/>
      <c r="Z13" s="331"/>
      <c r="AA13" s="331">
        <v>1</v>
      </c>
      <c r="AB13" s="331"/>
      <c r="AC13" s="331"/>
      <c r="AD13" s="331"/>
      <c r="AE13" s="266">
        <f t="shared" si="4"/>
        <v>1</v>
      </c>
      <c r="AF13" s="331"/>
      <c r="AG13" s="331"/>
      <c r="AH13" s="346"/>
      <c r="AI13" s="346"/>
      <c r="AJ13" s="331"/>
      <c r="AK13" s="331"/>
      <c r="AL13" s="266">
        <f t="shared" si="5"/>
        <v>0</v>
      </c>
      <c r="AM13" s="331"/>
      <c r="AN13" s="331"/>
      <c r="AO13" s="266">
        <f t="shared" si="6"/>
        <v>0</v>
      </c>
      <c r="AP13" s="266">
        <f t="shared" si="7"/>
        <v>1</v>
      </c>
      <c r="AQ13" s="266"/>
      <c r="AR13" s="266"/>
      <c r="AS13" s="331"/>
      <c r="AT13" s="331"/>
      <c r="AU13" s="331"/>
      <c r="AV13" s="331"/>
      <c r="AW13" s="266">
        <f t="shared" si="8"/>
        <v>0</v>
      </c>
      <c r="AX13" s="331"/>
      <c r="AY13" s="331"/>
      <c r="AZ13" s="331"/>
      <c r="BA13" s="331"/>
      <c r="BB13" s="331"/>
      <c r="BC13" s="331"/>
      <c r="BD13" s="266">
        <f t="shared" si="9"/>
        <v>0</v>
      </c>
      <c r="BE13" s="331"/>
      <c r="BF13" s="331"/>
      <c r="BG13" s="266">
        <f t="shared" si="10"/>
        <v>0</v>
      </c>
      <c r="BH13" s="268">
        <f t="shared" si="11"/>
        <v>0</v>
      </c>
      <c r="BI13" s="333">
        <f t="shared" si="12"/>
        <v>21</v>
      </c>
      <c r="BJ13" s="334">
        <f t="shared" ref="BJ13:BJ31" si="13">SUM(BI13)</f>
        <v>21</v>
      </c>
    </row>
    <row r="14" spans="1:62">
      <c r="A14" s="347">
        <v>6</v>
      </c>
      <c r="B14" s="274" t="s">
        <v>127</v>
      </c>
      <c r="C14" s="348" t="s">
        <v>273</v>
      </c>
      <c r="D14" s="349"/>
      <c r="E14" s="343"/>
      <c r="F14" s="343"/>
      <c r="G14" s="428">
        <v>2</v>
      </c>
      <c r="H14" s="426">
        <v>2</v>
      </c>
      <c r="I14" s="331">
        <v>2</v>
      </c>
      <c r="J14" s="331"/>
      <c r="K14" s="331">
        <v>2</v>
      </c>
      <c r="L14" s="331">
        <v>2</v>
      </c>
      <c r="M14" s="266">
        <f t="shared" si="0"/>
        <v>10</v>
      </c>
      <c r="N14" s="331">
        <v>3</v>
      </c>
      <c r="O14" s="331">
        <v>3</v>
      </c>
      <c r="P14" s="331">
        <v>3</v>
      </c>
      <c r="Q14" s="331">
        <v>3</v>
      </c>
      <c r="R14" s="331">
        <v>3</v>
      </c>
      <c r="S14" s="331">
        <v>3</v>
      </c>
      <c r="T14" s="266">
        <f t="shared" si="1"/>
        <v>18</v>
      </c>
      <c r="U14" s="331"/>
      <c r="V14" s="331"/>
      <c r="W14" s="266">
        <f t="shared" si="2"/>
        <v>0</v>
      </c>
      <c r="X14" s="266">
        <f t="shared" si="3"/>
        <v>28</v>
      </c>
      <c r="Y14" s="331"/>
      <c r="Z14" s="331"/>
      <c r="AA14" s="331"/>
      <c r="AB14" s="331"/>
      <c r="AC14" s="331"/>
      <c r="AD14" s="331"/>
      <c r="AE14" s="266">
        <f t="shared" si="4"/>
        <v>0</v>
      </c>
      <c r="AF14" s="331"/>
      <c r="AG14" s="331"/>
      <c r="AH14" s="331"/>
      <c r="AI14" s="331"/>
      <c r="AJ14" s="331"/>
      <c r="AK14" s="331"/>
      <c r="AL14" s="266">
        <f t="shared" si="5"/>
        <v>0</v>
      </c>
      <c r="AM14" s="331"/>
      <c r="AN14" s="331"/>
      <c r="AO14" s="266">
        <f t="shared" si="6"/>
        <v>0</v>
      </c>
      <c r="AP14" s="266">
        <f t="shared" si="7"/>
        <v>0</v>
      </c>
      <c r="AQ14" s="266"/>
      <c r="AR14" s="266"/>
      <c r="AS14" s="331"/>
      <c r="AT14" s="331"/>
      <c r="AU14" s="331"/>
      <c r="AV14" s="331"/>
      <c r="AW14" s="266">
        <f t="shared" si="8"/>
        <v>0</v>
      </c>
      <c r="AX14" s="331"/>
      <c r="AY14" s="331"/>
      <c r="AZ14" s="331"/>
      <c r="BA14" s="331"/>
      <c r="BB14" s="331"/>
      <c r="BC14" s="331"/>
      <c r="BD14" s="266">
        <f t="shared" si="9"/>
        <v>0</v>
      </c>
      <c r="BE14" s="331"/>
      <c r="BF14" s="331"/>
      <c r="BG14" s="266">
        <f t="shared" si="10"/>
        <v>0</v>
      </c>
      <c r="BH14" s="268">
        <f t="shared" si="11"/>
        <v>0</v>
      </c>
      <c r="BI14" s="333">
        <f t="shared" si="12"/>
        <v>28</v>
      </c>
      <c r="BJ14" s="334">
        <f t="shared" si="13"/>
        <v>28</v>
      </c>
    </row>
    <row r="15" spans="1:62">
      <c r="A15" s="350">
        <v>7</v>
      </c>
      <c r="B15" s="351" t="s">
        <v>111</v>
      </c>
      <c r="C15" s="352" t="s">
        <v>244</v>
      </c>
      <c r="D15" s="349"/>
      <c r="E15" s="343"/>
      <c r="F15" s="343"/>
      <c r="G15" s="330"/>
      <c r="H15" s="331"/>
      <c r="I15" s="331"/>
      <c r="J15" s="331"/>
      <c r="K15" s="331">
        <v>20</v>
      </c>
      <c r="L15" s="331"/>
      <c r="M15" s="266">
        <f t="shared" si="0"/>
        <v>20</v>
      </c>
      <c r="N15" s="331"/>
      <c r="O15" s="331"/>
      <c r="P15" s="331"/>
      <c r="Q15" s="331"/>
      <c r="R15" s="331"/>
      <c r="S15" s="331"/>
      <c r="T15" s="266">
        <f t="shared" si="1"/>
        <v>0</v>
      </c>
      <c r="U15" s="331"/>
      <c r="V15" s="331"/>
      <c r="W15" s="266">
        <f t="shared" si="2"/>
        <v>0</v>
      </c>
      <c r="X15" s="266">
        <f t="shared" si="3"/>
        <v>20</v>
      </c>
      <c r="Y15" s="331"/>
      <c r="Z15" s="331"/>
      <c r="AA15" s="331"/>
      <c r="AB15" s="331"/>
      <c r="AC15" s="331"/>
      <c r="AD15" s="331"/>
      <c r="AE15" s="266">
        <f t="shared" si="4"/>
        <v>0</v>
      </c>
      <c r="AF15" s="331"/>
      <c r="AG15" s="331"/>
      <c r="AH15" s="331"/>
      <c r="AI15" s="331"/>
      <c r="AJ15" s="331"/>
      <c r="AK15" s="331"/>
      <c r="AL15" s="266">
        <f t="shared" si="5"/>
        <v>0</v>
      </c>
      <c r="AM15" s="331"/>
      <c r="AN15" s="331"/>
      <c r="AO15" s="266">
        <f t="shared" si="6"/>
        <v>0</v>
      </c>
      <c r="AP15" s="266">
        <f t="shared" si="7"/>
        <v>0</v>
      </c>
      <c r="AQ15" s="266"/>
      <c r="AR15" s="266"/>
      <c r="AS15" s="331"/>
      <c r="AT15" s="331"/>
      <c r="AU15" s="331"/>
      <c r="AV15" s="331"/>
      <c r="AW15" s="266">
        <f t="shared" si="8"/>
        <v>0</v>
      </c>
      <c r="AX15" s="331"/>
      <c r="AY15" s="331"/>
      <c r="AZ15" s="331"/>
      <c r="BA15" s="331"/>
      <c r="BB15" s="331"/>
      <c r="BC15" s="331"/>
      <c r="BD15" s="266">
        <f t="shared" si="9"/>
        <v>0</v>
      </c>
      <c r="BE15" s="331"/>
      <c r="BF15" s="331"/>
      <c r="BG15" s="266">
        <f t="shared" si="10"/>
        <v>0</v>
      </c>
      <c r="BH15" s="268">
        <f t="shared" si="11"/>
        <v>0</v>
      </c>
      <c r="BI15" s="333">
        <f t="shared" si="12"/>
        <v>20</v>
      </c>
      <c r="BJ15" s="334">
        <f t="shared" si="13"/>
        <v>20</v>
      </c>
    </row>
    <row r="16" spans="1:62">
      <c r="A16" s="347">
        <v>8</v>
      </c>
      <c r="B16" s="274" t="s">
        <v>255</v>
      </c>
      <c r="C16" s="353" t="s">
        <v>274</v>
      </c>
      <c r="D16" s="349"/>
      <c r="E16" s="343"/>
      <c r="F16" s="343"/>
      <c r="G16" s="330"/>
      <c r="H16" s="331"/>
      <c r="I16" s="331"/>
      <c r="J16" s="331"/>
      <c r="K16" s="331"/>
      <c r="L16" s="331"/>
      <c r="M16" s="266">
        <f t="shared" si="0"/>
        <v>0</v>
      </c>
      <c r="N16" s="331">
        <v>5</v>
      </c>
      <c r="O16" s="331"/>
      <c r="P16" s="331"/>
      <c r="Q16" s="331"/>
      <c r="R16" s="331"/>
      <c r="S16" s="331"/>
      <c r="T16" s="266">
        <f t="shared" si="1"/>
        <v>5</v>
      </c>
      <c r="U16" s="331"/>
      <c r="V16" s="331"/>
      <c r="W16" s="266">
        <f t="shared" si="2"/>
        <v>0</v>
      </c>
      <c r="X16" s="266">
        <f t="shared" si="3"/>
        <v>5</v>
      </c>
      <c r="Y16" s="331"/>
      <c r="Z16" s="331"/>
      <c r="AA16" s="331"/>
      <c r="AB16" s="331"/>
      <c r="AC16" s="331"/>
      <c r="AD16" s="331"/>
      <c r="AE16" s="266">
        <f t="shared" si="4"/>
        <v>0</v>
      </c>
      <c r="AF16" s="331"/>
      <c r="AG16" s="331"/>
      <c r="AH16" s="331"/>
      <c r="AI16" s="331"/>
      <c r="AJ16" s="331"/>
      <c r="AK16" s="331"/>
      <c r="AL16" s="266">
        <f t="shared" si="5"/>
        <v>0</v>
      </c>
      <c r="AM16" s="331"/>
      <c r="AN16" s="331"/>
      <c r="AO16" s="266">
        <f t="shared" si="6"/>
        <v>0</v>
      </c>
      <c r="AP16" s="266">
        <f t="shared" si="7"/>
        <v>0</v>
      </c>
      <c r="AQ16" s="266"/>
      <c r="AR16" s="266"/>
      <c r="AS16" s="331"/>
      <c r="AT16" s="331"/>
      <c r="AU16" s="331"/>
      <c r="AV16" s="331"/>
      <c r="AW16" s="266">
        <f t="shared" si="8"/>
        <v>0</v>
      </c>
      <c r="AX16" s="331"/>
      <c r="AY16" s="331"/>
      <c r="AZ16" s="331"/>
      <c r="BA16" s="331"/>
      <c r="BB16" s="331"/>
      <c r="BC16" s="331"/>
      <c r="BD16" s="266">
        <f t="shared" si="9"/>
        <v>0</v>
      </c>
      <c r="BE16" s="331"/>
      <c r="BF16" s="331"/>
      <c r="BG16" s="266">
        <f t="shared" si="10"/>
        <v>0</v>
      </c>
      <c r="BH16" s="268">
        <f t="shared" si="11"/>
        <v>0</v>
      </c>
      <c r="BI16" s="333">
        <f t="shared" si="12"/>
        <v>5</v>
      </c>
      <c r="BJ16" s="334">
        <f t="shared" si="13"/>
        <v>5</v>
      </c>
    </row>
    <row r="17" spans="1:62">
      <c r="A17" s="341">
        <v>9</v>
      </c>
      <c r="B17" s="354" t="s">
        <v>128</v>
      </c>
      <c r="C17" s="355" t="s">
        <v>31</v>
      </c>
      <c r="D17" s="349"/>
      <c r="E17" s="343"/>
      <c r="F17" s="343"/>
      <c r="G17" s="356">
        <v>1</v>
      </c>
      <c r="H17" s="427">
        <v>1</v>
      </c>
      <c r="I17" s="331">
        <v>1</v>
      </c>
      <c r="J17" s="357">
        <v>0.5</v>
      </c>
      <c r="K17" s="331">
        <v>1</v>
      </c>
      <c r="L17" s="331">
        <v>1</v>
      </c>
      <c r="M17" s="266">
        <f t="shared" si="0"/>
        <v>5.5</v>
      </c>
      <c r="N17" s="331">
        <v>1</v>
      </c>
      <c r="O17" s="331">
        <v>1</v>
      </c>
      <c r="P17" s="331">
        <v>1</v>
      </c>
      <c r="Q17" s="331">
        <v>1</v>
      </c>
      <c r="R17" s="331">
        <v>1</v>
      </c>
      <c r="S17" s="331">
        <v>1</v>
      </c>
      <c r="T17" s="266">
        <f t="shared" si="1"/>
        <v>6</v>
      </c>
      <c r="U17" s="331"/>
      <c r="V17" s="331"/>
      <c r="W17" s="266">
        <f t="shared" si="2"/>
        <v>0</v>
      </c>
      <c r="X17" s="266">
        <f t="shared" si="3"/>
        <v>11.5</v>
      </c>
      <c r="Y17" s="331"/>
      <c r="Z17" s="331"/>
      <c r="AA17" s="331"/>
      <c r="AB17" s="331"/>
      <c r="AC17" s="331"/>
      <c r="AD17" s="331"/>
      <c r="AE17" s="266">
        <f t="shared" si="4"/>
        <v>0</v>
      </c>
      <c r="AF17" s="331"/>
      <c r="AG17" s="331"/>
      <c r="AH17" s="331"/>
      <c r="AI17" s="331"/>
      <c r="AJ17" s="331"/>
      <c r="AK17" s="331"/>
      <c r="AL17" s="266">
        <f t="shared" si="5"/>
        <v>0</v>
      </c>
      <c r="AM17" s="331"/>
      <c r="AN17" s="331"/>
      <c r="AO17" s="266">
        <f t="shared" si="6"/>
        <v>0</v>
      </c>
      <c r="AP17" s="266">
        <f t="shared" si="7"/>
        <v>0</v>
      </c>
      <c r="AQ17" s="266"/>
      <c r="AR17" s="266"/>
      <c r="AS17" s="331"/>
      <c r="AT17" s="331"/>
      <c r="AU17" s="331"/>
      <c r="AV17" s="331"/>
      <c r="AW17" s="266">
        <f t="shared" si="8"/>
        <v>0</v>
      </c>
      <c r="AX17" s="331"/>
      <c r="AY17" s="331">
        <v>0.5</v>
      </c>
      <c r="AZ17" s="331"/>
      <c r="BA17" s="331"/>
      <c r="BB17" s="331">
        <v>0.5</v>
      </c>
      <c r="BC17" s="331"/>
      <c r="BD17" s="266">
        <f t="shared" si="9"/>
        <v>1</v>
      </c>
      <c r="BE17" s="331"/>
      <c r="BF17" s="331"/>
      <c r="BG17" s="266">
        <f t="shared" si="10"/>
        <v>0</v>
      </c>
      <c r="BH17" s="268">
        <f t="shared" si="11"/>
        <v>1</v>
      </c>
      <c r="BI17" s="333">
        <f t="shared" si="12"/>
        <v>12.5</v>
      </c>
      <c r="BJ17" s="334">
        <f t="shared" si="13"/>
        <v>12.5</v>
      </c>
    </row>
    <row r="18" spans="1:62">
      <c r="A18" s="341">
        <v>10</v>
      </c>
      <c r="B18" s="284" t="s">
        <v>275</v>
      </c>
      <c r="C18" s="337" t="s">
        <v>244</v>
      </c>
      <c r="D18" s="349"/>
      <c r="E18" s="343"/>
      <c r="F18" s="343"/>
      <c r="G18" s="330">
        <v>20</v>
      </c>
      <c r="H18" s="331"/>
      <c r="I18" s="331"/>
      <c r="J18" s="331"/>
      <c r="K18" s="331"/>
      <c r="L18" s="331"/>
      <c r="M18" s="266">
        <f t="shared" si="0"/>
        <v>20</v>
      </c>
      <c r="N18" s="331"/>
      <c r="O18" s="331"/>
      <c r="P18" s="331"/>
      <c r="Q18" s="331"/>
      <c r="R18" s="331"/>
      <c r="S18" s="331"/>
      <c r="T18" s="266">
        <f t="shared" si="1"/>
        <v>0</v>
      </c>
      <c r="U18" s="331"/>
      <c r="V18" s="331"/>
      <c r="W18" s="266">
        <f t="shared" si="2"/>
        <v>0</v>
      </c>
      <c r="X18" s="266">
        <f t="shared" si="3"/>
        <v>20</v>
      </c>
      <c r="Y18" s="331">
        <v>1</v>
      </c>
      <c r="Z18" s="331"/>
      <c r="AA18" s="331"/>
      <c r="AB18" s="331"/>
      <c r="AC18" s="331"/>
      <c r="AD18" s="331"/>
      <c r="AE18" s="266">
        <f t="shared" si="4"/>
        <v>1</v>
      </c>
      <c r="AF18" s="331"/>
      <c r="AG18" s="331"/>
      <c r="AH18" s="331"/>
      <c r="AI18" s="331"/>
      <c r="AJ18" s="331"/>
      <c r="AK18" s="331"/>
      <c r="AL18" s="266">
        <f t="shared" si="5"/>
        <v>0</v>
      </c>
      <c r="AM18" s="331"/>
      <c r="AN18" s="331"/>
      <c r="AO18" s="266">
        <f t="shared" si="6"/>
        <v>0</v>
      </c>
      <c r="AP18" s="266">
        <f t="shared" si="7"/>
        <v>1</v>
      </c>
      <c r="AQ18" s="266"/>
      <c r="AR18" s="266"/>
      <c r="AS18" s="331"/>
      <c r="AT18" s="331"/>
      <c r="AU18" s="331"/>
      <c r="AV18" s="331"/>
      <c r="AW18" s="266">
        <f t="shared" si="8"/>
        <v>0</v>
      </c>
      <c r="AX18" s="331"/>
      <c r="AY18" s="331"/>
      <c r="AZ18" s="331"/>
      <c r="BA18" s="331"/>
      <c r="BB18" s="331"/>
      <c r="BC18" s="331"/>
      <c r="BD18" s="266">
        <f t="shared" si="9"/>
        <v>0</v>
      </c>
      <c r="BE18" s="331"/>
      <c r="BF18" s="331"/>
      <c r="BG18" s="266">
        <f t="shared" si="10"/>
        <v>0</v>
      </c>
      <c r="BH18" s="268">
        <f t="shared" si="11"/>
        <v>0</v>
      </c>
      <c r="BI18" s="333">
        <f t="shared" si="12"/>
        <v>21</v>
      </c>
      <c r="BJ18" s="334">
        <f t="shared" si="13"/>
        <v>21</v>
      </c>
    </row>
    <row r="19" spans="1:62">
      <c r="A19" s="341">
        <v>11</v>
      </c>
      <c r="B19" s="274" t="s">
        <v>98</v>
      </c>
      <c r="C19" s="339" t="s">
        <v>244</v>
      </c>
      <c r="D19" s="349"/>
      <c r="E19" s="343">
        <v>12</v>
      </c>
      <c r="F19" s="343"/>
      <c r="G19" s="330"/>
      <c r="H19" s="331">
        <v>18</v>
      </c>
      <c r="I19" s="331"/>
      <c r="J19" s="331"/>
      <c r="K19" s="331"/>
      <c r="L19" s="331"/>
      <c r="M19" s="266">
        <f t="shared" si="0"/>
        <v>18</v>
      </c>
      <c r="N19" s="331"/>
      <c r="O19" s="331"/>
      <c r="P19" s="331"/>
      <c r="Q19" s="331"/>
      <c r="R19" s="331"/>
      <c r="S19" s="331"/>
      <c r="T19" s="266">
        <f t="shared" si="1"/>
        <v>0</v>
      </c>
      <c r="U19" s="331"/>
      <c r="V19" s="331"/>
      <c r="W19" s="266">
        <f t="shared" si="2"/>
        <v>0</v>
      </c>
      <c r="X19" s="266">
        <f t="shared" si="3"/>
        <v>18</v>
      </c>
      <c r="Y19" s="331"/>
      <c r="Z19" s="331">
        <v>1</v>
      </c>
      <c r="AA19" s="331"/>
      <c r="AB19" s="331"/>
      <c r="AC19" s="331"/>
      <c r="AD19" s="331"/>
      <c r="AE19" s="266">
        <f t="shared" si="4"/>
        <v>1</v>
      </c>
      <c r="AF19" s="331"/>
      <c r="AG19" s="331"/>
      <c r="AH19" s="331"/>
      <c r="AI19" s="331"/>
      <c r="AJ19" s="331"/>
      <c r="AK19" s="331"/>
      <c r="AL19" s="266">
        <f t="shared" si="5"/>
        <v>0</v>
      </c>
      <c r="AM19" s="331"/>
      <c r="AN19" s="331"/>
      <c r="AO19" s="266">
        <f t="shared" si="6"/>
        <v>0</v>
      </c>
      <c r="AP19" s="266">
        <f t="shared" si="7"/>
        <v>1</v>
      </c>
      <c r="AQ19" s="266"/>
      <c r="AR19" s="266"/>
      <c r="AS19" s="331"/>
      <c r="AT19" s="331"/>
      <c r="AU19" s="331"/>
      <c r="AV19" s="331"/>
      <c r="AW19" s="266">
        <f t="shared" si="8"/>
        <v>0</v>
      </c>
      <c r="AX19" s="331"/>
      <c r="AY19" s="331"/>
      <c r="AZ19" s="331"/>
      <c r="BA19" s="331"/>
      <c r="BB19" s="331"/>
      <c r="BC19" s="331"/>
      <c r="BD19" s="266">
        <f t="shared" si="9"/>
        <v>0</v>
      </c>
      <c r="BE19" s="331"/>
      <c r="BF19" s="331"/>
      <c r="BG19" s="266">
        <f t="shared" si="10"/>
        <v>0</v>
      </c>
      <c r="BH19" s="268">
        <f t="shared" si="11"/>
        <v>0</v>
      </c>
      <c r="BI19" s="333">
        <f t="shared" si="12"/>
        <v>19</v>
      </c>
      <c r="BJ19" s="334">
        <f t="shared" si="13"/>
        <v>19</v>
      </c>
    </row>
    <row r="20" spans="1:62">
      <c r="A20" s="347">
        <v>12</v>
      </c>
      <c r="B20" s="358" t="s">
        <v>109</v>
      </c>
      <c r="C20" s="339" t="s">
        <v>244</v>
      </c>
      <c r="D20" s="349"/>
      <c r="E20" s="343"/>
      <c r="F20" s="343"/>
      <c r="G20" s="330"/>
      <c r="H20" s="331"/>
      <c r="I20" s="331"/>
      <c r="J20" s="331"/>
      <c r="K20" s="331"/>
      <c r="L20" s="331">
        <v>20</v>
      </c>
      <c r="M20" s="266">
        <f t="shared" si="0"/>
        <v>20</v>
      </c>
      <c r="N20" s="331"/>
      <c r="O20" s="331"/>
      <c r="P20" s="331"/>
      <c r="Q20" s="331"/>
      <c r="R20" s="331"/>
      <c r="S20" s="331"/>
      <c r="T20" s="266">
        <f t="shared" si="1"/>
        <v>0</v>
      </c>
      <c r="U20" s="331"/>
      <c r="V20" s="331"/>
      <c r="W20" s="266">
        <f t="shared" si="2"/>
        <v>0</v>
      </c>
      <c r="X20" s="266">
        <f t="shared" si="3"/>
        <v>20</v>
      </c>
      <c r="Y20" s="331"/>
      <c r="Z20" s="331"/>
      <c r="AA20" s="331"/>
      <c r="AB20" s="331"/>
      <c r="AC20" s="331"/>
      <c r="AD20" s="331"/>
      <c r="AE20" s="266">
        <f t="shared" si="4"/>
        <v>0</v>
      </c>
      <c r="AF20" s="331"/>
      <c r="AG20" s="331"/>
      <c r="AH20" s="331"/>
      <c r="AI20" s="331"/>
      <c r="AJ20" s="331"/>
      <c r="AK20" s="331"/>
      <c r="AL20" s="266">
        <f t="shared" si="5"/>
        <v>0</v>
      </c>
      <c r="AM20" s="331"/>
      <c r="AN20" s="331"/>
      <c r="AO20" s="266">
        <f t="shared" si="6"/>
        <v>0</v>
      </c>
      <c r="AP20" s="266">
        <f t="shared" si="7"/>
        <v>0</v>
      </c>
      <c r="AQ20" s="266"/>
      <c r="AR20" s="266"/>
      <c r="AS20" s="331"/>
      <c r="AT20" s="331"/>
      <c r="AU20" s="331"/>
      <c r="AV20" s="331"/>
      <c r="AW20" s="266">
        <f t="shared" si="8"/>
        <v>0</v>
      </c>
      <c r="AX20" s="331"/>
      <c r="AY20" s="331"/>
      <c r="AZ20" s="331"/>
      <c r="BA20" s="331"/>
      <c r="BB20" s="331"/>
      <c r="BC20" s="331"/>
      <c r="BD20" s="266">
        <f t="shared" si="9"/>
        <v>0</v>
      </c>
      <c r="BE20" s="331"/>
      <c r="BF20" s="331"/>
      <c r="BG20" s="266">
        <f t="shared" si="10"/>
        <v>0</v>
      </c>
      <c r="BH20" s="268">
        <f t="shared" si="11"/>
        <v>0</v>
      </c>
      <c r="BI20" s="333">
        <f t="shared" si="12"/>
        <v>20</v>
      </c>
      <c r="BJ20" s="334">
        <f t="shared" si="13"/>
        <v>20</v>
      </c>
    </row>
    <row r="21" spans="1:62">
      <c r="A21" s="530">
        <v>13</v>
      </c>
      <c r="B21" s="274" t="s">
        <v>190</v>
      </c>
      <c r="C21" s="359" t="s">
        <v>272</v>
      </c>
      <c r="D21" s="349"/>
      <c r="E21" s="360"/>
      <c r="F21" s="361"/>
      <c r="G21" s="331">
        <v>2</v>
      </c>
      <c r="H21" s="331">
        <v>2</v>
      </c>
      <c r="I21" s="331">
        <v>2</v>
      </c>
      <c r="J21" s="331"/>
      <c r="K21" s="331"/>
      <c r="L21" s="331"/>
      <c r="M21" s="266">
        <f t="shared" si="0"/>
        <v>6</v>
      </c>
      <c r="N21" s="331"/>
      <c r="O21" s="331"/>
      <c r="P21" s="331"/>
      <c r="Q21" s="331"/>
      <c r="R21" s="331"/>
      <c r="S21" s="331"/>
      <c r="T21" s="266">
        <f t="shared" si="1"/>
        <v>0</v>
      </c>
      <c r="U21" s="331"/>
      <c r="V21" s="331"/>
      <c r="W21" s="266">
        <f t="shared" si="2"/>
        <v>0</v>
      </c>
      <c r="X21" s="266">
        <f t="shared" si="3"/>
        <v>6</v>
      </c>
      <c r="Y21" s="331"/>
      <c r="Z21" s="331"/>
      <c r="AA21" s="331"/>
      <c r="AB21" s="331"/>
      <c r="AC21" s="331"/>
      <c r="AD21" s="331"/>
      <c r="AE21" s="266">
        <f t="shared" si="4"/>
        <v>0</v>
      </c>
      <c r="AF21" s="331"/>
      <c r="AG21" s="331"/>
      <c r="AH21" s="331"/>
      <c r="AI21" s="331"/>
      <c r="AJ21" s="331"/>
      <c r="AK21" s="331"/>
      <c r="AL21" s="266">
        <f t="shared" si="5"/>
        <v>0</v>
      </c>
      <c r="AM21" s="331"/>
      <c r="AN21" s="331"/>
      <c r="AO21" s="266">
        <f t="shared" si="6"/>
        <v>0</v>
      </c>
      <c r="AP21" s="266">
        <f t="shared" si="7"/>
        <v>0</v>
      </c>
      <c r="AQ21" s="266"/>
      <c r="AR21" s="266"/>
      <c r="AS21" s="331"/>
      <c r="AT21" s="331"/>
      <c r="AU21" s="331"/>
      <c r="AV21" s="331"/>
      <c r="AW21" s="266">
        <f t="shared" si="8"/>
        <v>0</v>
      </c>
      <c r="AX21" s="331"/>
      <c r="AY21" s="331"/>
      <c r="AZ21" s="331"/>
      <c r="BA21" s="331"/>
      <c r="BB21" s="331"/>
      <c r="BC21" s="331"/>
      <c r="BD21" s="266">
        <f t="shared" si="9"/>
        <v>0</v>
      </c>
      <c r="BE21" s="331"/>
      <c r="BF21" s="331"/>
      <c r="BG21" s="266">
        <f t="shared" si="10"/>
        <v>0</v>
      </c>
      <c r="BH21" s="268">
        <f t="shared" si="11"/>
        <v>0</v>
      </c>
      <c r="BI21" s="333">
        <f t="shared" si="12"/>
        <v>6</v>
      </c>
      <c r="BJ21" s="334">
        <f t="shared" si="13"/>
        <v>6</v>
      </c>
    </row>
    <row r="22" spans="1:62">
      <c r="A22" s="535"/>
      <c r="B22" s="274" t="s">
        <v>276</v>
      </c>
      <c r="C22" s="359" t="s">
        <v>21</v>
      </c>
      <c r="D22" s="349"/>
      <c r="E22" s="360"/>
      <c r="F22" s="361"/>
      <c r="G22" s="331"/>
      <c r="H22" s="331"/>
      <c r="I22" s="331"/>
      <c r="J22" s="331"/>
      <c r="K22" s="331"/>
      <c r="L22" s="331"/>
      <c r="M22" s="266">
        <f t="shared" si="0"/>
        <v>0</v>
      </c>
      <c r="N22" s="331"/>
      <c r="O22" s="331"/>
      <c r="P22" s="331"/>
      <c r="Q22" s="331">
        <v>1</v>
      </c>
      <c r="R22" s="331"/>
      <c r="S22" s="331"/>
      <c r="T22" s="266">
        <f t="shared" si="1"/>
        <v>1</v>
      </c>
      <c r="U22" s="331"/>
      <c r="V22" s="331"/>
      <c r="W22" s="266"/>
      <c r="X22" s="266">
        <f t="shared" si="3"/>
        <v>1</v>
      </c>
      <c r="Y22" s="331"/>
      <c r="Z22" s="331"/>
      <c r="AA22" s="331"/>
      <c r="AB22" s="331"/>
      <c r="AC22" s="331"/>
      <c r="AD22" s="331"/>
      <c r="AE22" s="266">
        <f t="shared" si="4"/>
        <v>0</v>
      </c>
      <c r="AF22" s="331"/>
      <c r="AG22" s="331"/>
      <c r="AH22" s="331"/>
      <c r="AI22" s="331"/>
      <c r="AJ22" s="331"/>
      <c r="AK22" s="331"/>
      <c r="AL22" s="266">
        <f t="shared" si="5"/>
        <v>0</v>
      </c>
      <c r="AM22" s="331"/>
      <c r="AN22" s="331"/>
      <c r="AO22" s="266">
        <f t="shared" si="6"/>
        <v>0</v>
      </c>
      <c r="AP22" s="266">
        <f t="shared" si="7"/>
        <v>0</v>
      </c>
      <c r="AQ22" s="266"/>
      <c r="AR22" s="266"/>
      <c r="AS22" s="331"/>
      <c r="AT22" s="331"/>
      <c r="AU22" s="331"/>
      <c r="AV22" s="331"/>
      <c r="AW22" s="266">
        <f t="shared" si="8"/>
        <v>0</v>
      </c>
      <c r="AX22" s="331"/>
      <c r="AY22" s="331"/>
      <c r="AZ22" s="331"/>
      <c r="BA22" s="331"/>
      <c r="BB22" s="331"/>
      <c r="BC22" s="331"/>
      <c r="BD22" s="266">
        <f t="shared" si="9"/>
        <v>0</v>
      </c>
      <c r="BE22" s="331"/>
      <c r="BF22" s="331"/>
      <c r="BG22" s="266">
        <f t="shared" si="10"/>
        <v>0</v>
      </c>
      <c r="BH22" s="268">
        <f t="shared" si="11"/>
        <v>0</v>
      </c>
      <c r="BI22" s="333">
        <f t="shared" si="12"/>
        <v>1</v>
      </c>
      <c r="BJ22" s="334">
        <f t="shared" si="13"/>
        <v>1</v>
      </c>
    </row>
    <row r="23" spans="1:62">
      <c r="A23" s="341">
        <v>14</v>
      </c>
      <c r="B23" s="282" t="s">
        <v>103</v>
      </c>
      <c r="C23" s="342" t="s">
        <v>25</v>
      </c>
      <c r="D23" s="349"/>
      <c r="E23" s="343"/>
      <c r="F23" s="362"/>
      <c r="G23" s="331"/>
      <c r="H23" s="331"/>
      <c r="I23" s="331"/>
      <c r="J23" s="331"/>
      <c r="K23" s="331"/>
      <c r="L23" s="331"/>
      <c r="M23" s="266">
        <f t="shared" si="0"/>
        <v>0</v>
      </c>
      <c r="N23" s="331">
        <v>3</v>
      </c>
      <c r="O23" s="331">
        <v>3</v>
      </c>
      <c r="P23" s="331">
        <v>4</v>
      </c>
      <c r="Q23" s="331">
        <v>3</v>
      </c>
      <c r="R23" s="331">
        <v>3</v>
      </c>
      <c r="S23" s="331">
        <v>4</v>
      </c>
      <c r="T23" s="266">
        <f t="shared" si="1"/>
        <v>20</v>
      </c>
      <c r="U23" s="331"/>
      <c r="V23" s="331"/>
      <c r="W23" s="266">
        <f>SUM(U23:V23)</f>
        <v>0</v>
      </c>
      <c r="X23" s="266">
        <f t="shared" si="3"/>
        <v>20</v>
      </c>
      <c r="Y23" s="331"/>
      <c r="Z23" s="331"/>
      <c r="AA23" s="331"/>
      <c r="AB23" s="331"/>
      <c r="AC23" s="331"/>
      <c r="AD23" s="331"/>
      <c r="AE23" s="266">
        <f t="shared" si="4"/>
        <v>0</v>
      </c>
      <c r="AF23" s="331"/>
      <c r="AG23" s="331"/>
      <c r="AH23" s="331"/>
      <c r="AI23" s="331"/>
      <c r="AJ23" s="331"/>
      <c r="AK23" s="331"/>
      <c r="AL23" s="266">
        <f t="shared" si="5"/>
        <v>0</v>
      </c>
      <c r="AM23" s="331"/>
      <c r="AN23" s="331"/>
      <c r="AO23" s="266">
        <f t="shared" si="6"/>
        <v>0</v>
      </c>
      <c r="AP23" s="266">
        <f t="shared" si="7"/>
        <v>0</v>
      </c>
      <c r="AQ23" s="266"/>
      <c r="AR23" s="266"/>
      <c r="AS23" s="331"/>
      <c r="AT23" s="331"/>
      <c r="AU23" s="331"/>
      <c r="AV23" s="331"/>
      <c r="AW23" s="266">
        <f t="shared" si="8"/>
        <v>0</v>
      </c>
      <c r="AX23" s="331"/>
      <c r="AY23" s="331"/>
      <c r="AZ23" s="426"/>
      <c r="BA23" s="331"/>
      <c r="BB23" s="331"/>
      <c r="BC23" s="331">
        <v>1</v>
      </c>
      <c r="BD23" s="266">
        <f t="shared" si="9"/>
        <v>1</v>
      </c>
      <c r="BE23" s="331"/>
      <c r="BF23" s="331"/>
      <c r="BG23" s="266">
        <f t="shared" si="10"/>
        <v>0</v>
      </c>
      <c r="BH23" s="268">
        <f t="shared" si="11"/>
        <v>1</v>
      </c>
      <c r="BI23" s="333">
        <f t="shared" si="12"/>
        <v>21</v>
      </c>
      <c r="BJ23" s="334">
        <f t="shared" si="13"/>
        <v>21</v>
      </c>
    </row>
    <row r="24" spans="1:62">
      <c r="A24" s="341">
        <v>15</v>
      </c>
      <c r="B24" s="363" t="s">
        <v>122</v>
      </c>
      <c r="C24" s="342" t="s">
        <v>20</v>
      </c>
      <c r="D24" s="349"/>
      <c r="E24" s="343"/>
      <c r="F24" s="362"/>
      <c r="G24" s="331"/>
      <c r="H24" s="331"/>
      <c r="I24" s="331"/>
      <c r="J24" s="331"/>
      <c r="K24" s="331"/>
      <c r="L24" s="331"/>
      <c r="M24" s="266">
        <f t="shared" si="0"/>
        <v>0</v>
      </c>
      <c r="N24" s="331">
        <v>5</v>
      </c>
      <c r="O24" s="331">
        <v>5</v>
      </c>
      <c r="P24" s="331">
        <v>5</v>
      </c>
      <c r="Q24" s="331">
        <v>5</v>
      </c>
      <c r="R24" s="331">
        <v>5</v>
      </c>
      <c r="S24" s="331">
        <v>5</v>
      </c>
      <c r="T24" s="266">
        <f t="shared" si="1"/>
        <v>30</v>
      </c>
      <c r="U24" s="331"/>
      <c r="V24" s="331"/>
      <c r="W24" s="266"/>
      <c r="X24" s="266">
        <f t="shared" si="3"/>
        <v>30</v>
      </c>
      <c r="Y24" s="331"/>
      <c r="Z24" s="331"/>
      <c r="AA24" s="331"/>
      <c r="AB24" s="331"/>
      <c r="AC24" s="331"/>
      <c r="AD24" s="331"/>
      <c r="AE24" s="266">
        <f t="shared" si="4"/>
        <v>0</v>
      </c>
      <c r="AF24" s="331"/>
      <c r="AG24" s="331"/>
      <c r="AH24" s="331"/>
      <c r="AI24" s="331"/>
      <c r="AJ24" s="331"/>
      <c r="AK24" s="331"/>
      <c r="AL24" s="266">
        <f t="shared" si="5"/>
        <v>0</v>
      </c>
      <c r="AM24" s="331"/>
      <c r="AN24" s="331"/>
      <c r="AO24" s="266">
        <f t="shared" si="6"/>
        <v>0</v>
      </c>
      <c r="AP24" s="266">
        <f t="shared" si="7"/>
        <v>0</v>
      </c>
      <c r="AQ24" s="266"/>
      <c r="AR24" s="266"/>
      <c r="AS24" s="331"/>
      <c r="AT24" s="331"/>
      <c r="AU24" s="331"/>
      <c r="AV24" s="331"/>
      <c r="AW24" s="266">
        <f t="shared" si="8"/>
        <v>0</v>
      </c>
      <c r="AX24" s="331"/>
      <c r="AY24" s="331"/>
      <c r="AZ24" s="331"/>
      <c r="BA24" s="331"/>
      <c r="BB24" s="331"/>
      <c r="BC24" s="331"/>
      <c r="BD24" s="266">
        <f t="shared" si="9"/>
        <v>0</v>
      </c>
      <c r="BE24" s="331"/>
      <c r="BF24" s="331"/>
      <c r="BG24" s="266">
        <f t="shared" si="10"/>
        <v>0</v>
      </c>
      <c r="BH24" s="268">
        <f t="shared" si="11"/>
        <v>0</v>
      </c>
      <c r="BI24" s="333">
        <f t="shared" si="12"/>
        <v>30</v>
      </c>
      <c r="BJ24" s="334">
        <f t="shared" si="13"/>
        <v>30</v>
      </c>
    </row>
    <row r="25" spans="1:62">
      <c r="A25" s="341">
        <v>16</v>
      </c>
      <c r="B25" s="282" t="s">
        <v>92</v>
      </c>
      <c r="C25" s="359" t="s">
        <v>274</v>
      </c>
      <c r="D25" s="349"/>
      <c r="E25" s="343"/>
      <c r="F25" s="362"/>
      <c r="G25" s="331"/>
      <c r="H25" s="331"/>
      <c r="I25" s="331"/>
      <c r="J25" s="331">
        <v>2</v>
      </c>
      <c r="K25" s="331">
        <v>3</v>
      </c>
      <c r="L25" s="331">
        <v>4</v>
      </c>
      <c r="M25" s="266">
        <f t="shared" si="0"/>
        <v>9</v>
      </c>
      <c r="N25" s="331"/>
      <c r="O25" s="331"/>
      <c r="P25" s="331"/>
      <c r="Q25" s="331">
        <v>4</v>
      </c>
      <c r="R25" s="331">
        <v>4</v>
      </c>
      <c r="S25" s="331">
        <v>4</v>
      </c>
      <c r="T25" s="266">
        <f t="shared" si="1"/>
        <v>12</v>
      </c>
      <c r="U25" s="331"/>
      <c r="V25" s="331"/>
      <c r="W25" s="266">
        <f>SUM(U25:V25)</f>
        <v>0</v>
      </c>
      <c r="X25" s="266">
        <f t="shared" si="3"/>
        <v>21</v>
      </c>
      <c r="Y25" s="331"/>
      <c r="Z25" s="331"/>
      <c r="AA25" s="331"/>
      <c r="AB25" s="331"/>
      <c r="AC25" s="331"/>
      <c r="AD25" s="331"/>
      <c r="AE25" s="266">
        <f t="shared" si="4"/>
        <v>0</v>
      </c>
      <c r="AF25" s="331"/>
      <c r="AG25" s="331"/>
      <c r="AH25" s="331"/>
      <c r="AI25" s="331"/>
      <c r="AJ25" s="331"/>
      <c r="AK25" s="331"/>
      <c r="AL25" s="266">
        <f t="shared" si="5"/>
        <v>0</v>
      </c>
      <c r="AM25" s="331"/>
      <c r="AN25" s="331"/>
      <c r="AO25" s="266">
        <f t="shared" si="6"/>
        <v>0</v>
      </c>
      <c r="AP25" s="266">
        <f t="shared" si="7"/>
        <v>0</v>
      </c>
      <c r="AQ25" s="266"/>
      <c r="AR25" s="266"/>
      <c r="AS25" s="331"/>
      <c r="AT25" s="331"/>
      <c r="AU25" s="331"/>
      <c r="AV25" s="331"/>
      <c r="AW25" s="266">
        <f t="shared" si="8"/>
        <v>0</v>
      </c>
      <c r="AX25" s="331"/>
      <c r="AY25" s="331"/>
      <c r="AZ25" s="331"/>
      <c r="BA25" s="331"/>
      <c r="BB25" s="331"/>
      <c r="BC25" s="331"/>
      <c r="BD25" s="266">
        <f t="shared" si="9"/>
        <v>0</v>
      </c>
      <c r="BE25" s="331"/>
      <c r="BF25" s="331"/>
      <c r="BG25" s="266">
        <f t="shared" si="10"/>
        <v>0</v>
      </c>
      <c r="BH25" s="268">
        <f t="shared" si="11"/>
        <v>0</v>
      </c>
      <c r="BI25" s="333">
        <f t="shared" si="12"/>
        <v>21</v>
      </c>
      <c r="BJ25" s="334">
        <f t="shared" si="13"/>
        <v>21</v>
      </c>
    </row>
    <row r="26" spans="1:62">
      <c r="A26" s="347">
        <v>17</v>
      </c>
      <c r="B26" s="282" t="s">
        <v>125</v>
      </c>
      <c r="C26" s="364" t="s">
        <v>277</v>
      </c>
      <c r="D26" s="349"/>
      <c r="E26" s="343"/>
      <c r="F26" s="361"/>
      <c r="G26" s="346"/>
      <c r="H26" s="346"/>
      <c r="I26" s="346"/>
      <c r="J26" s="346"/>
      <c r="K26" s="346"/>
      <c r="L26" s="346"/>
      <c r="M26" s="266">
        <f t="shared" si="0"/>
        <v>0</v>
      </c>
      <c r="N26" s="346">
        <v>2</v>
      </c>
      <c r="O26" s="346">
        <v>2</v>
      </c>
      <c r="P26" s="346">
        <v>2</v>
      </c>
      <c r="Q26" s="346">
        <v>2</v>
      </c>
      <c r="R26" s="346">
        <v>2</v>
      </c>
      <c r="S26" s="346">
        <v>2</v>
      </c>
      <c r="T26" s="266">
        <f t="shared" si="1"/>
        <v>12</v>
      </c>
      <c r="U26" s="346"/>
      <c r="V26" s="346"/>
      <c r="W26" s="266"/>
      <c r="X26" s="266">
        <f t="shared" si="3"/>
        <v>12</v>
      </c>
      <c r="Y26" s="346"/>
      <c r="Z26" s="346"/>
      <c r="AA26" s="346"/>
      <c r="AB26" s="346"/>
      <c r="AC26" s="346"/>
      <c r="AD26" s="346"/>
      <c r="AE26" s="266">
        <f t="shared" si="4"/>
        <v>0</v>
      </c>
      <c r="AF26" s="346"/>
      <c r="AG26" s="346"/>
      <c r="AH26" s="346"/>
      <c r="AI26" s="346"/>
      <c r="AJ26" s="346"/>
      <c r="AK26" s="346"/>
      <c r="AL26" s="266">
        <f t="shared" si="5"/>
        <v>0</v>
      </c>
      <c r="AM26" s="346"/>
      <c r="AN26" s="346"/>
      <c r="AO26" s="266">
        <f t="shared" si="6"/>
        <v>0</v>
      </c>
      <c r="AP26" s="266">
        <f t="shared" si="7"/>
        <v>0</v>
      </c>
      <c r="AQ26" s="365"/>
      <c r="AR26" s="365"/>
      <c r="AS26" s="346"/>
      <c r="AT26" s="346"/>
      <c r="AU26" s="346"/>
      <c r="AV26" s="346"/>
      <c r="AW26" s="266">
        <f t="shared" si="8"/>
        <v>0</v>
      </c>
      <c r="AX26" s="346"/>
      <c r="AY26" s="346"/>
      <c r="AZ26" s="346"/>
      <c r="BA26" s="346"/>
      <c r="BB26" s="346"/>
      <c r="BC26" s="346"/>
      <c r="BD26" s="266">
        <f t="shared" si="9"/>
        <v>0</v>
      </c>
      <c r="BE26" s="346"/>
      <c r="BF26" s="346"/>
      <c r="BG26" s="266">
        <f t="shared" si="10"/>
        <v>0</v>
      </c>
      <c r="BH26" s="268">
        <f t="shared" si="11"/>
        <v>0</v>
      </c>
      <c r="BI26" s="333">
        <v>12</v>
      </c>
      <c r="BJ26" s="334">
        <f t="shared" si="13"/>
        <v>12</v>
      </c>
    </row>
    <row r="27" spans="1:62">
      <c r="A27" s="347">
        <v>18</v>
      </c>
      <c r="B27" s="348" t="s">
        <v>95</v>
      </c>
      <c r="C27" s="364" t="s">
        <v>278</v>
      </c>
      <c r="D27" s="349"/>
      <c r="E27" s="343"/>
      <c r="F27" s="361"/>
      <c r="G27" s="346"/>
      <c r="H27" s="346"/>
      <c r="I27" s="346"/>
      <c r="J27" s="346"/>
      <c r="K27" s="346"/>
      <c r="L27" s="346"/>
      <c r="M27" s="266">
        <f t="shared" si="0"/>
        <v>0</v>
      </c>
      <c r="N27" s="346"/>
      <c r="O27" s="346">
        <v>5</v>
      </c>
      <c r="P27" s="346"/>
      <c r="Q27" s="346"/>
      <c r="R27" s="346"/>
      <c r="S27" s="346"/>
      <c r="T27" s="266">
        <f t="shared" si="1"/>
        <v>5</v>
      </c>
      <c r="U27" s="346"/>
      <c r="V27" s="346"/>
      <c r="W27" s="266"/>
      <c r="X27" s="266">
        <f t="shared" si="3"/>
        <v>5</v>
      </c>
      <c r="Y27" s="346"/>
      <c r="Z27" s="346"/>
      <c r="AA27" s="346"/>
      <c r="AB27" s="346"/>
      <c r="AC27" s="346"/>
      <c r="AD27" s="346"/>
      <c r="AE27" s="266">
        <f t="shared" si="4"/>
        <v>0</v>
      </c>
      <c r="AF27" s="346"/>
      <c r="AG27" s="346"/>
      <c r="AH27" s="346"/>
      <c r="AI27" s="346"/>
      <c r="AJ27" s="346"/>
      <c r="AK27" s="346"/>
      <c r="AL27" s="266">
        <f t="shared" si="5"/>
        <v>0</v>
      </c>
      <c r="AM27" s="346"/>
      <c r="AN27" s="346"/>
      <c r="AO27" s="266">
        <f t="shared" si="6"/>
        <v>0</v>
      </c>
      <c r="AP27" s="266">
        <f t="shared" si="7"/>
        <v>0</v>
      </c>
      <c r="AQ27" s="365"/>
      <c r="AR27" s="365"/>
      <c r="AS27" s="346"/>
      <c r="AT27" s="346"/>
      <c r="AU27" s="346"/>
      <c r="AV27" s="346"/>
      <c r="AW27" s="266">
        <f t="shared" si="8"/>
        <v>0</v>
      </c>
      <c r="AX27" s="346"/>
      <c r="AY27" s="346"/>
      <c r="AZ27" s="346"/>
      <c r="BA27" s="346"/>
      <c r="BB27" s="346"/>
      <c r="BC27" s="346"/>
      <c r="BD27" s="266">
        <f t="shared" si="9"/>
        <v>0</v>
      </c>
      <c r="BE27" s="346"/>
      <c r="BF27" s="346"/>
      <c r="BG27" s="266">
        <f t="shared" si="10"/>
        <v>0</v>
      </c>
      <c r="BH27" s="268">
        <f t="shared" si="11"/>
        <v>0</v>
      </c>
      <c r="BI27" s="333">
        <f t="shared" si="12"/>
        <v>5</v>
      </c>
      <c r="BJ27" s="334">
        <f t="shared" si="13"/>
        <v>5</v>
      </c>
    </row>
    <row r="28" spans="1:62">
      <c r="A28" s="530">
        <v>19</v>
      </c>
      <c r="B28" s="348" t="s">
        <v>100</v>
      </c>
      <c r="C28" s="366" t="s">
        <v>274</v>
      </c>
      <c r="D28" s="349"/>
      <c r="E28" s="343"/>
      <c r="F28" s="361"/>
      <c r="G28" s="346"/>
      <c r="H28" s="346"/>
      <c r="I28" s="346"/>
      <c r="J28" s="346"/>
      <c r="K28" s="346"/>
      <c r="L28" s="346"/>
      <c r="M28" s="266">
        <f t="shared" si="0"/>
        <v>0</v>
      </c>
      <c r="N28" s="346"/>
      <c r="O28" s="346"/>
      <c r="P28" s="346">
        <v>5</v>
      </c>
      <c r="Q28" s="346"/>
      <c r="R28" s="346"/>
      <c r="S28" s="346"/>
      <c r="T28" s="266">
        <f t="shared" si="1"/>
        <v>5</v>
      </c>
      <c r="U28" s="346"/>
      <c r="V28" s="346"/>
      <c r="W28" s="266"/>
      <c r="X28" s="266">
        <f t="shared" si="3"/>
        <v>5</v>
      </c>
      <c r="Y28" s="346"/>
      <c r="Z28" s="346"/>
      <c r="AA28" s="346"/>
      <c r="AB28" s="346"/>
      <c r="AC28" s="346"/>
      <c r="AD28" s="346"/>
      <c r="AE28" s="266">
        <f t="shared" si="4"/>
        <v>0</v>
      </c>
      <c r="AF28" s="346"/>
      <c r="AG28" s="346"/>
      <c r="AH28" s="346"/>
      <c r="AI28" s="346"/>
      <c r="AJ28" s="346"/>
      <c r="AK28" s="346"/>
      <c r="AL28" s="266">
        <f t="shared" si="5"/>
        <v>0</v>
      </c>
      <c r="AM28" s="346"/>
      <c r="AN28" s="346"/>
      <c r="AO28" s="266">
        <f t="shared" si="6"/>
        <v>0</v>
      </c>
      <c r="AP28" s="266">
        <f t="shared" si="7"/>
        <v>0</v>
      </c>
      <c r="AQ28" s="365"/>
      <c r="AR28" s="365" t="s">
        <v>139</v>
      </c>
      <c r="AS28" s="346"/>
      <c r="AT28" s="346"/>
      <c r="AU28" s="346"/>
      <c r="AV28" s="346"/>
      <c r="AW28" s="266">
        <f t="shared" si="8"/>
        <v>0</v>
      </c>
      <c r="AX28" s="346">
        <v>0.5</v>
      </c>
      <c r="AY28" s="346"/>
      <c r="AZ28" s="346"/>
      <c r="BA28" s="346">
        <v>0.5</v>
      </c>
      <c r="BB28" s="346"/>
      <c r="BC28" s="346"/>
      <c r="BD28" s="266">
        <f t="shared" si="9"/>
        <v>1</v>
      </c>
      <c r="BE28" s="346"/>
      <c r="BF28" s="346"/>
      <c r="BG28" s="266">
        <f t="shared" si="10"/>
        <v>0</v>
      </c>
      <c r="BH28" s="268">
        <f t="shared" si="11"/>
        <v>1</v>
      </c>
      <c r="BI28" s="333">
        <f t="shared" si="12"/>
        <v>6</v>
      </c>
      <c r="BJ28" s="334">
        <f t="shared" si="13"/>
        <v>6</v>
      </c>
    </row>
    <row r="29" spans="1:62">
      <c r="A29" s="535"/>
      <c r="B29" s="281"/>
      <c r="C29" s="366" t="s">
        <v>21</v>
      </c>
      <c r="D29" s="349"/>
      <c r="E29" s="343"/>
      <c r="F29" s="361"/>
      <c r="G29" s="346"/>
      <c r="H29" s="346"/>
      <c r="I29" s="346"/>
      <c r="J29" s="346"/>
      <c r="K29" s="346"/>
      <c r="L29" s="346"/>
      <c r="M29" s="266">
        <f t="shared" si="0"/>
        <v>0</v>
      </c>
      <c r="N29" s="346">
        <v>1</v>
      </c>
      <c r="O29" s="346"/>
      <c r="P29" s="346"/>
      <c r="Q29" s="346"/>
      <c r="R29" s="346"/>
      <c r="S29" s="346"/>
      <c r="T29" s="266">
        <f t="shared" si="1"/>
        <v>1</v>
      </c>
      <c r="U29" s="346"/>
      <c r="V29" s="346"/>
      <c r="W29" s="266"/>
      <c r="X29" s="266">
        <f t="shared" si="3"/>
        <v>1</v>
      </c>
      <c r="Y29" s="346"/>
      <c r="Z29" s="346"/>
      <c r="AA29" s="346"/>
      <c r="AB29" s="346"/>
      <c r="AC29" s="346"/>
      <c r="AD29" s="346"/>
      <c r="AE29" s="266">
        <f t="shared" si="4"/>
        <v>0</v>
      </c>
      <c r="AF29" s="346"/>
      <c r="AG29" s="346"/>
      <c r="AH29" s="346"/>
      <c r="AI29" s="346"/>
      <c r="AJ29" s="346"/>
      <c r="AK29" s="346"/>
      <c r="AL29" s="266">
        <f t="shared" si="5"/>
        <v>0</v>
      </c>
      <c r="AM29" s="346"/>
      <c r="AN29" s="346"/>
      <c r="AO29" s="266">
        <f t="shared" si="6"/>
        <v>0</v>
      </c>
      <c r="AP29" s="266">
        <f t="shared" si="7"/>
        <v>0</v>
      </c>
      <c r="AQ29" s="365"/>
      <c r="AR29" s="365"/>
      <c r="AS29" s="346"/>
      <c r="AT29" s="346"/>
      <c r="AU29" s="346"/>
      <c r="AV29" s="346"/>
      <c r="AW29" s="266">
        <f t="shared" si="8"/>
        <v>0</v>
      </c>
      <c r="AX29" s="346"/>
      <c r="AY29" s="346"/>
      <c r="AZ29" s="346"/>
      <c r="BA29" s="346"/>
      <c r="BB29" s="346"/>
      <c r="BC29" s="346"/>
      <c r="BD29" s="266">
        <f t="shared" si="9"/>
        <v>0</v>
      </c>
      <c r="BE29" s="346"/>
      <c r="BF29" s="346"/>
      <c r="BG29" s="266">
        <f t="shared" si="10"/>
        <v>0</v>
      </c>
      <c r="BH29" s="268">
        <f t="shared" si="11"/>
        <v>0</v>
      </c>
      <c r="BI29" s="333">
        <f t="shared" si="12"/>
        <v>1</v>
      </c>
      <c r="BJ29" s="334">
        <f t="shared" si="13"/>
        <v>1</v>
      </c>
    </row>
    <row r="30" spans="1:62">
      <c r="A30" s="347">
        <v>20</v>
      </c>
      <c r="B30" s="274" t="s">
        <v>113</v>
      </c>
      <c r="C30" s="366" t="s">
        <v>318</v>
      </c>
      <c r="D30" s="349"/>
      <c r="E30" s="343"/>
      <c r="F30" s="361">
        <v>12</v>
      </c>
      <c r="G30" s="346"/>
      <c r="H30" s="346"/>
      <c r="I30" s="346"/>
      <c r="J30" s="346">
        <v>18</v>
      </c>
      <c r="K30" s="346"/>
      <c r="L30" s="346"/>
      <c r="M30" s="266">
        <f t="shared" si="0"/>
        <v>18</v>
      </c>
      <c r="N30" s="346"/>
      <c r="O30" s="346"/>
      <c r="P30" s="346"/>
      <c r="Q30" s="346"/>
      <c r="R30" s="346"/>
      <c r="S30" s="346"/>
      <c r="T30" s="266">
        <f t="shared" si="1"/>
        <v>0</v>
      </c>
      <c r="U30" s="346"/>
      <c r="V30" s="346"/>
      <c r="W30" s="266"/>
      <c r="X30" s="266">
        <f t="shared" si="3"/>
        <v>18</v>
      </c>
      <c r="Y30" s="346"/>
      <c r="Z30" s="346"/>
      <c r="AA30" s="346"/>
      <c r="AB30" s="346"/>
      <c r="AC30" s="346"/>
      <c r="AD30" s="346"/>
      <c r="AE30" s="266">
        <f t="shared" si="4"/>
        <v>0</v>
      </c>
      <c r="AF30" s="346"/>
      <c r="AG30" s="346"/>
      <c r="AH30" s="346"/>
      <c r="AI30" s="346"/>
      <c r="AJ30" s="346"/>
      <c r="AK30" s="346"/>
      <c r="AL30" s="266">
        <f t="shared" si="5"/>
        <v>0</v>
      </c>
      <c r="AM30" s="346"/>
      <c r="AN30" s="346"/>
      <c r="AO30" s="266">
        <f t="shared" si="6"/>
        <v>0</v>
      </c>
      <c r="AP30" s="266">
        <f t="shared" si="7"/>
        <v>0</v>
      </c>
      <c r="AQ30" s="365"/>
      <c r="AR30" s="365"/>
      <c r="AS30" s="346"/>
      <c r="AT30" s="346"/>
      <c r="AU30" s="346"/>
      <c r="AV30" s="346"/>
      <c r="AW30" s="266">
        <f t="shared" si="8"/>
        <v>0</v>
      </c>
      <c r="AX30" s="346"/>
      <c r="AY30" s="346"/>
      <c r="AZ30" s="346"/>
      <c r="BA30" s="346"/>
      <c r="BB30" s="346"/>
      <c r="BC30" s="346"/>
      <c r="BD30" s="266">
        <f t="shared" si="9"/>
        <v>0</v>
      </c>
      <c r="BE30" s="346"/>
      <c r="BF30" s="346"/>
      <c r="BG30" s="266">
        <f t="shared" si="10"/>
        <v>0</v>
      </c>
      <c r="BH30" s="268">
        <f t="shared" si="11"/>
        <v>0</v>
      </c>
      <c r="BI30" s="333">
        <f t="shared" si="12"/>
        <v>18</v>
      </c>
      <c r="BJ30" s="334">
        <f t="shared" si="13"/>
        <v>18</v>
      </c>
    </row>
    <row r="31" spans="1:62">
      <c r="A31" s="347">
        <v>21</v>
      </c>
      <c r="B31" s="274"/>
      <c r="C31" s="342"/>
      <c r="D31" s="284"/>
      <c r="E31" s="343"/>
      <c r="F31" s="361"/>
      <c r="G31" s="346"/>
      <c r="H31" s="346"/>
      <c r="I31" s="346"/>
      <c r="J31" s="346"/>
      <c r="K31" s="346"/>
      <c r="L31" s="346"/>
      <c r="M31" s="266">
        <f t="shared" si="0"/>
        <v>0</v>
      </c>
      <c r="N31" s="346"/>
      <c r="O31" s="346"/>
      <c r="P31" s="346"/>
      <c r="Q31" s="346"/>
      <c r="R31" s="346"/>
      <c r="S31" s="346"/>
      <c r="T31" s="266">
        <f t="shared" si="1"/>
        <v>0</v>
      </c>
      <c r="U31" s="346"/>
      <c r="V31" s="346"/>
      <c r="W31" s="266">
        <f>SUM(U31:V31)</f>
        <v>0</v>
      </c>
      <c r="X31" s="266">
        <f t="shared" si="3"/>
        <v>0</v>
      </c>
      <c r="Y31" s="346"/>
      <c r="Z31" s="346"/>
      <c r="AA31" s="346"/>
      <c r="AB31" s="346"/>
      <c r="AC31" s="346"/>
      <c r="AD31" s="346"/>
      <c r="AE31" s="266">
        <f t="shared" si="4"/>
        <v>0</v>
      </c>
      <c r="AF31" s="346"/>
      <c r="AG31" s="346"/>
      <c r="AH31" s="346"/>
      <c r="AI31" s="346"/>
      <c r="AJ31" s="346"/>
      <c r="AK31" s="346"/>
      <c r="AL31" s="266">
        <f t="shared" si="5"/>
        <v>0</v>
      </c>
      <c r="AM31" s="346"/>
      <c r="AN31" s="346"/>
      <c r="AO31" s="266">
        <f t="shared" si="6"/>
        <v>0</v>
      </c>
      <c r="AP31" s="266">
        <f t="shared" si="7"/>
        <v>0</v>
      </c>
      <c r="AQ31" s="365"/>
      <c r="AR31" s="365"/>
      <c r="AS31" s="346"/>
      <c r="AT31" s="346"/>
      <c r="AU31" s="346"/>
      <c r="AV31" s="346"/>
      <c r="AW31" s="266">
        <f t="shared" si="8"/>
        <v>0</v>
      </c>
      <c r="AX31" s="346"/>
      <c r="AY31" s="346"/>
      <c r="AZ31" s="346"/>
      <c r="BA31" s="346"/>
      <c r="BB31" s="346"/>
      <c r="BC31" s="346"/>
      <c r="BD31" s="266"/>
      <c r="BE31" s="346"/>
      <c r="BF31" s="346"/>
      <c r="BG31" s="266">
        <f t="shared" si="10"/>
        <v>0</v>
      </c>
      <c r="BH31" s="268">
        <f t="shared" si="11"/>
        <v>0</v>
      </c>
      <c r="BI31" s="333">
        <f t="shared" si="12"/>
        <v>0</v>
      </c>
      <c r="BJ31" s="334">
        <f t="shared" si="13"/>
        <v>0</v>
      </c>
    </row>
    <row r="32" spans="1:62">
      <c r="A32" s="368"/>
      <c r="B32" s="369" t="s">
        <v>252</v>
      </c>
      <c r="C32" s="346"/>
      <c r="D32" s="370">
        <f t="shared" ref="D32:AI32" si="14">SUM(D7:D31)</f>
        <v>0</v>
      </c>
      <c r="E32" s="370">
        <f t="shared" si="14"/>
        <v>12</v>
      </c>
      <c r="F32" s="370">
        <f t="shared" si="14"/>
        <v>12</v>
      </c>
      <c r="G32" s="370">
        <f t="shared" si="14"/>
        <v>25</v>
      </c>
      <c r="H32" s="370">
        <f t="shared" si="14"/>
        <v>23</v>
      </c>
      <c r="I32" s="370">
        <f t="shared" si="14"/>
        <v>25</v>
      </c>
      <c r="J32" s="370">
        <f t="shared" si="14"/>
        <v>20.5</v>
      </c>
      <c r="K32" s="370">
        <f t="shared" si="14"/>
        <v>26</v>
      </c>
      <c r="L32" s="370">
        <f t="shared" si="14"/>
        <v>27</v>
      </c>
      <c r="M32" s="370">
        <f t="shared" si="14"/>
        <v>146.5</v>
      </c>
      <c r="N32" s="370">
        <f t="shared" si="14"/>
        <v>32</v>
      </c>
      <c r="O32" s="370">
        <f t="shared" si="14"/>
        <v>32</v>
      </c>
      <c r="P32" s="370">
        <f t="shared" si="14"/>
        <v>33</v>
      </c>
      <c r="Q32" s="370">
        <f t="shared" si="14"/>
        <v>29</v>
      </c>
      <c r="R32" s="370">
        <f t="shared" si="14"/>
        <v>33</v>
      </c>
      <c r="S32" s="370">
        <f t="shared" si="14"/>
        <v>34</v>
      </c>
      <c r="T32" s="370">
        <f t="shared" si="14"/>
        <v>193</v>
      </c>
      <c r="U32" s="370">
        <f t="shared" si="14"/>
        <v>0</v>
      </c>
      <c r="V32" s="370">
        <f t="shared" si="14"/>
        <v>0</v>
      </c>
      <c r="W32" s="370">
        <f t="shared" si="14"/>
        <v>0</v>
      </c>
      <c r="X32" s="370">
        <f t="shared" si="14"/>
        <v>339.5</v>
      </c>
      <c r="Y32" s="370">
        <f t="shared" si="14"/>
        <v>1</v>
      </c>
      <c r="Z32" s="370">
        <f t="shared" si="14"/>
        <v>1</v>
      </c>
      <c r="AA32" s="370">
        <f t="shared" si="14"/>
        <v>1</v>
      </c>
      <c r="AB32" s="370">
        <f t="shared" si="14"/>
        <v>0</v>
      </c>
      <c r="AC32" s="370">
        <f t="shared" si="14"/>
        <v>0</v>
      </c>
      <c r="AD32" s="370">
        <f t="shared" si="14"/>
        <v>0</v>
      </c>
      <c r="AE32" s="370">
        <f t="shared" si="14"/>
        <v>3</v>
      </c>
      <c r="AF32" s="370">
        <f t="shared" si="14"/>
        <v>0</v>
      </c>
      <c r="AG32" s="370">
        <f t="shared" si="14"/>
        <v>0</v>
      </c>
      <c r="AH32" s="370">
        <f t="shared" si="14"/>
        <v>0</v>
      </c>
      <c r="AI32" s="370">
        <f t="shared" si="14"/>
        <v>0</v>
      </c>
      <c r="AJ32" s="370">
        <f t="shared" ref="AJ32:BJ32" si="15">SUM(AJ7:AJ31)</f>
        <v>0</v>
      </c>
      <c r="AK32" s="370">
        <f t="shared" si="15"/>
        <v>0</v>
      </c>
      <c r="AL32" s="370">
        <f t="shared" si="15"/>
        <v>0</v>
      </c>
      <c r="AM32" s="370">
        <f t="shared" si="15"/>
        <v>0</v>
      </c>
      <c r="AN32" s="370">
        <f t="shared" si="15"/>
        <v>0</v>
      </c>
      <c r="AO32" s="370">
        <f t="shared" si="15"/>
        <v>0</v>
      </c>
      <c r="AP32" s="370">
        <f t="shared" si="15"/>
        <v>3</v>
      </c>
      <c r="AQ32" s="370">
        <f t="shared" si="15"/>
        <v>0</v>
      </c>
      <c r="AR32" s="370">
        <f t="shared" si="15"/>
        <v>0</v>
      </c>
      <c r="AS32" s="370">
        <f t="shared" si="15"/>
        <v>0</v>
      </c>
      <c r="AT32" s="370">
        <f t="shared" si="15"/>
        <v>0</v>
      </c>
      <c r="AU32" s="370">
        <f t="shared" si="15"/>
        <v>0</v>
      </c>
      <c r="AV32" s="370">
        <f t="shared" si="15"/>
        <v>0</v>
      </c>
      <c r="AW32" s="370">
        <f t="shared" si="15"/>
        <v>0</v>
      </c>
      <c r="AX32" s="425">
        <f t="shared" si="15"/>
        <v>0.5</v>
      </c>
      <c r="AY32" s="425">
        <f t="shared" si="15"/>
        <v>0.5</v>
      </c>
      <c r="AZ32" s="370">
        <f t="shared" si="15"/>
        <v>0</v>
      </c>
      <c r="BA32" s="425">
        <f t="shared" si="15"/>
        <v>0.5</v>
      </c>
      <c r="BB32" s="425">
        <f t="shared" si="15"/>
        <v>0.5</v>
      </c>
      <c r="BC32" s="370">
        <f t="shared" si="15"/>
        <v>1</v>
      </c>
      <c r="BD32" s="370">
        <f t="shared" si="15"/>
        <v>3</v>
      </c>
      <c r="BE32" s="370">
        <f t="shared" si="15"/>
        <v>0</v>
      </c>
      <c r="BF32" s="370">
        <f t="shared" si="15"/>
        <v>0</v>
      </c>
      <c r="BG32" s="370">
        <f t="shared" si="15"/>
        <v>0</v>
      </c>
      <c r="BH32" s="370">
        <f t="shared" si="15"/>
        <v>3</v>
      </c>
      <c r="BI32" s="425">
        <f t="shared" si="15"/>
        <v>345.5</v>
      </c>
      <c r="BJ32" s="425">
        <f t="shared" si="15"/>
        <v>345.5</v>
      </c>
    </row>
    <row r="33" spans="1:62">
      <c r="A33" s="371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259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72"/>
      <c r="BJ33" s="303"/>
    </row>
    <row r="34" spans="1:62">
      <c r="A34" s="529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5"/>
      <c r="Y34" s="303"/>
      <c r="Z34" s="303"/>
      <c r="AA34" s="303"/>
      <c r="AB34" s="303"/>
      <c r="AC34" s="303"/>
      <c r="AD34" s="303"/>
      <c r="AE34" s="302"/>
      <c r="AF34" s="303"/>
      <c r="AG34" s="303"/>
      <c r="AH34" s="303"/>
      <c r="AI34" s="303"/>
      <c r="AJ34" s="303"/>
      <c r="AK34" s="303"/>
      <c r="AL34" s="302"/>
      <c r="AM34" s="303"/>
      <c r="AN34" s="303"/>
      <c r="AO34" s="303"/>
      <c r="AP34" s="302"/>
      <c r="AQ34" s="302"/>
      <c r="AR34" s="302"/>
      <c r="AS34" s="303"/>
      <c r="AT34" s="303"/>
      <c r="AU34" s="303"/>
      <c r="AV34" s="303"/>
      <c r="AW34" s="302"/>
      <c r="AX34" s="303"/>
      <c r="AY34" s="303"/>
      <c r="AZ34" s="303"/>
      <c r="BA34" s="303"/>
      <c r="BB34" s="303"/>
      <c r="BC34" s="303"/>
      <c r="BD34" s="302"/>
      <c r="BE34" s="303"/>
      <c r="BF34" s="303"/>
      <c r="BG34" s="303"/>
      <c r="BH34" s="302"/>
      <c r="BI34" s="303"/>
      <c r="BJ34" s="303"/>
    </row>
    <row r="35" spans="1:62">
      <c r="A35" s="529"/>
      <c r="B35" s="290" t="s">
        <v>279</v>
      </c>
      <c r="C35" s="290"/>
      <c r="D35" s="303"/>
      <c r="E35" s="303"/>
      <c r="F35" s="373" t="s">
        <v>215</v>
      </c>
      <c r="G35" s="373"/>
      <c r="H35" s="373"/>
      <c r="I35" s="373"/>
      <c r="J35" s="373"/>
      <c r="K35" s="373"/>
      <c r="L35" s="373"/>
      <c r="M35" s="259"/>
      <c r="N35" s="259"/>
      <c r="O35" s="259"/>
      <c r="P35" s="259"/>
      <c r="Q35" s="259"/>
      <c r="R35" s="259"/>
      <c r="S35" s="259"/>
      <c r="T35" s="303"/>
      <c r="U35" s="303"/>
      <c r="V35" s="303"/>
      <c r="W35" s="303"/>
      <c r="X35" s="305"/>
      <c r="Y35" s="303"/>
      <c r="Z35" s="303"/>
      <c r="AA35" s="303"/>
      <c r="AB35" s="303"/>
      <c r="AC35" s="303"/>
      <c r="AD35" s="303"/>
      <c r="AE35" s="302"/>
      <c r="AF35" s="303"/>
      <c r="AG35" s="303"/>
      <c r="AH35" s="303"/>
      <c r="AI35" s="303"/>
      <c r="AJ35" s="303"/>
      <c r="AK35" s="303"/>
      <c r="AL35" s="302"/>
      <c r="AM35" s="303"/>
      <c r="AN35" s="303"/>
      <c r="AO35" s="303"/>
      <c r="AP35" s="302"/>
      <c r="AQ35" s="302"/>
      <c r="AR35" s="302"/>
      <c r="AS35" s="303"/>
      <c r="AT35" s="303"/>
      <c r="AU35" s="303"/>
      <c r="AV35" s="303"/>
      <c r="AW35" s="302"/>
      <c r="AX35" s="303"/>
      <c r="AY35" s="303"/>
      <c r="AZ35" s="303"/>
      <c r="BA35" s="303"/>
      <c r="BB35" s="303"/>
      <c r="BC35" s="303"/>
      <c r="BD35" s="302"/>
      <c r="BE35" s="303"/>
      <c r="BF35" s="303"/>
      <c r="BG35" s="303"/>
      <c r="BH35" s="302"/>
      <c r="BI35" s="372"/>
      <c r="BJ35" s="303"/>
    </row>
    <row r="36" spans="1:62">
      <c r="A36" s="367"/>
      <c r="B36" s="290"/>
      <c r="C36" s="290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72"/>
      <c r="W36" s="303"/>
      <c r="X36" s="305"/>
      <c r="Y36" s="303"/>
      <c r="Z36" s="303"/>
      <c r="AA36" s="303"/>
      <c r="AB36" s="303"/>
      <c r="AC36" s="303"/>
      <c r="AD36" s="303"/>
      <c r="AE36" s="302"/>
      <c r="AF36" s="303"/>
      <c r="AG36" s="303"/>
      <c r="AH36" s="303"/>
      <c r="AI36" s="303"/>
      <c r="AJ36" s="303"/>
      <c r="AK36" s="303"/>
      <c r="AL36" s="302"/>
      <c r="AM36" s="303"/>
      <c r="AN36" s="303"/>
      <c r="AO36" s="303"/>
      <c r="AP36" s="302"/>
      <c r="AQ36" s="302"/>
      <c r="AR36" s="302"/>
      <c r="AS36" s="303"/>
      <c r="AT36" s="303"/>
      <c r="AU36" s="303"/>
      <c r="AV36" s="303"/>
      <c r="AW36" s="302"/>
      <c r="AX36" s="303"/>
      <c r="AY36" s="303"/>
      <c r="AZ36" s="303"/>
      <c r="BA36" s="303"/>
      <c r="BB36" s="303"/>
      <c r="BC36" s="303"/>
      <c r="BD36" s="302"/>
      <c r="BE36" s="303"/>
      <c r="BF36" s="303"/>
      <c r="BG36" s="303"/>
      <c r="BH36" s="302"/>
      <c r="BI36" s="303"/>
      <c r="BJ36" s="303"/>
    </row>
    <row r="37" spans="1:62">
      <c r="A37" s="367"/>
      <c r="B37" s="291" t="s">
        <v>254</v>
      </c>
      <c r="C37" s="291"/>
      <c r="D37" s="303"/>
      <c r="E37" s="303"/>
      <c r="F37" s="373" t="s">
        <v>94</v>
      </c>
      <c r="G37" s="303"/>
      <c r="H37" s="303"/>
      <c r="I37" s="303"/>
      <c r="J37" s="303"/>
      <c r="K37" s="303"/>
      <c r="L37" s="303"/>
      <c r="M37" s="259" t="s">
        <v>280</v>
      </c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5"/>
      <c r="Y37" s="303"/>
      <c r="Z37" s="303"/>
      <c r="AA37" s="303"/>
      <c r="AB37" s="303"/>
      <c r="AC37" s="303"/>
      <c r="AD37" s="303"/>
      <c r="AE37" s="302"/>
      <c r="AF37" s="303"/>
      <c r="AG37" s="303"/>
      <c r="AH37" s="303"/>
      <c r="AI37" s="303"/>
      <c r="AJ37" s="303"/>
      <c r="AK37" s="303"/>
      <c r="AL37" s="302"/>
      <c r="AM37" s="303"/>
      <c r="AN37" s="303"/>
      <c r="AO37" s="303"/>
      <c r="AP37" s="302"/>
      <c r="AQ37" s="302"/>
      <c r="AR37" s="302"/>
      <c r="AS37" s="303"/>
      <c r="AT37" s="303"/>
      <c r="AU37" s="303"/>
      <c r="AV37" s="303"/>
      <c r="AW37" s="302"/>
      <c r="AX37" s="303"/>
      <c r="AY37" s="303"/>
      <c r="AZ37" s="303"/>
      <c r="BA37" s="303"/>
      <c r="BB37" s="303"/>
      <c r="BC37" s="303"/>
      <c r="BD37" s="302"/>
      <c r="BE37" s="303"/>
      <c r="BF37" s="303"/>
      <c r="BG37" s="303"/>
      <c r="BH37" s="302"/>
      <c r="BI37" s="303"/>
      <c r="BJ37" s="303"/>
    </row>
    <row r="38" spans="1:62">
      <c r="A38" s="367"/>
      <c r="B38" s="303"/>
      <c r="C38" s="372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5"/>
      <c r="Y38" s="303"/>
      <c r="Z38" s="303"/>
      <c r="AA38" s="303"/>
      <c r="AB38" s="303"/>
      <c r="AC38" s="303"/>
      <c r="AD38" s="303"/>
      <c r="AE38" s="302"/>
      <c r="AF38" s="303"/>
      <c r="AG38" s="303"/>
      <c r="AH38" s="303"/>
      <c r="AI38" s="303"/>
      <c r="AJ38" s="303"/>
      <c r="AK38" s="303"/>
      <c r="AL38" s="302"/>
      <c r="AM38" s="303"/>
      <c r="AN38" s="303"/>
      <c r="AO38" s="303"/>
      <c r="AP38" s="302"/>
      <c r="AQ38" s="302"/>
      <c r="AR38" s="302"/>
      <c r="AS38" s="303"/>
      <c r="AT38" s="303"/>
      <c r="AU38" s="303"/>
      <c r="AV38" s="303"/>
      <c r="AW38" s="302"/>
      <c r="AX38" s="303"/>
      <c r="AY38" s="303"/>
      <c r="AZ38" s="303"/>
      <c r="BA38" s="303"/>
      <c r="BB38" s="303"/>
      <c r="BC38" s="303"/>
      <c r="BD38" s="302"/>
      <c r="BE38" s="303"/>
      <c r="BF38" s="303"/>
      <c r="BG38" s="303"/>
      <c r="BH38" s="302"/>
      <c r="BI38" s="303"/>
      <c r="BJ38" s="303"/>
    </row>
  </sheetData>
  <mergeCells count="19">
    <mergeCell ref="BJ5:BJ6"/>
    <mergeCell ref="A7:A8"/>
    <mergeCell ref="B7:B8"/>
    <mergeCell ref="C2:U2"/>
    <mergeCell ref="A5:A6"/>
    <mergeCell ref="B5:B6"/>
    <mergeCell ref="C5:C6"/>
    <mergeCell ref="D5:D6"/>
    <mergeCell ref="F5:F6"/>
    <mergeCell ref="G5:V5"/>
    <mergeCell ref="Y5:AM5"/>
    <mergeCell ref="AR5:BG5"/>
    <mergeCell ref="BI5:BI6"/>
    <mergeCell ref="A34:A35"/>
    <mergeCell ref="A10:A11"/>
    <mergeCell ref="B10:B11"/>
    <mergeCell ref="BJ10:BJ11"/>
    <mergeCell ref="A21:A22"/>
    <mergeCell ref="A28:A29"/>
  </mergeCells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view="pageBreakPreview" zoomScale="130" zoomScaleSheetLayoutView="130" workbookViewId="0">
      <selection activeCell="A5" sqref="A5:A6"/>
    </sheetView>
  </sheetViews>
  <sheetFormatPr defaultColWidth="8.85546875" defaultRowHeight="12.75"/>
  <cols>
    <col min="1" max="1" width="6.7109375" style="254" customWidth="1"/>
    <col min="2" max="3" width="8.85546875" style="254"/>
    <col min="4" max="4" width="42.28515625" style="254" customWidth="1"/>
    <col min="5" max="5" width="16.28515625" style="254" customWidth="1"/>
    <col min="6" max="6" width="16" style="254" customWidth="1"/>
    <col min="7" max="7" width="15.85546875" style="254" customWidth="1"/>
    <col min="8" max="16384" width="8.85546875" style="254"/>
  </cols>
  <sheetData>
    <row r="2" spans="1:7">
      <c r="A2" s="556" t="s">
        <v>281</v>
      </c>
      <c r="B2" s="556"/>
      <c r="C2" s="556"/>
      <c r="D2" s="556"/>
      <c r="E2" s="556"/>
      <c r="F2" s="556"/>
      <c r="G2" s="556"/>
    </row>
    <row r="3" spans="1:7">
      <c r="C3" s="556" t="s">
        <v>330</v>
      </c>
      <c r="D3" s="556"/>
      <c r="E3" s="556"/>
      <c r="F3" s="556"/>
    </row>
    <row r="4" spans="1:7">
      <c r="A4" s="374"/>
      <c r="B4" s="374"/>
      <c r="C4" s="374"/>
      <c r="D4" s="374"/>
      <c r="E4" s="374"/>
      <c r="F4" s="374"/>
      <c r="G4" s="374"/>
    </row>
    <row r="5" spans="1:7" ht="12.75" customHeight="1">
      <c r="A5" s="557" t="s">
        <v>225</v>
      </c>
      <c r="B5" s="557" t="s">
        <v>282</v>
      </c>
      <c r="C5" s="557" t="s">
        <v>283</v>
      </c>
      <c r="D5" s="557" t="s">
        <v>284</v>
      </c>
      <c r="E5" s="558" t="s">
        <v>285</v>
      </c>
      <c r="F5" s="558"/>
      <c r="G5" s="558"/>
    </row>
    <row r="6" spans="1:7">
      <c r="A6" s="557"/>
      <c r="B6" s="557"/>
      <c r="C6" s="557"/>
      <c r="D6" s="557"/>
      <c r="E6" s="375" t="s">
        <v>286</v>
      </c>
      <c r="F6" s="375" t="s">
        <v>259</v>
      </c>
      <c r="G6" s="375" t="s">
        <v>287</v>
      </c>
    </row>
    <row r="7" spans="1:7">
      <c r="A7" s="388">
        <v>1</v>
      </c>
      <c r="B7" s="388" t="s">
        <v>313</v>
      </c>
      <c r="C7" s="375">
        <v>9</v>
      </c>
      <c r="D7" s="388" t="s">
        <v>312</v>
      </c>
      <c r="E7" s="389">
        <v>1</v>
      </c>
      <c r="F7" s="387"/>
      <c r="G7" s="389">
        <v>1</v>
      </c>
    </row>
    <row r="8" spans="1:7" s="294" customFormat="1">
      <c r="A8" s="376">
        <v>2</v>
      </c>
      <c r="B8" s="377" t="s">
        <v>309</v>
      </c>
      <c r="C8" s="376">
        <v>9</v>
      </c>
      <c r="D8" s="377" t="s">
        <v>311</v>
      </c>
      <c r="E8" s="378">
        <v>1</v>
      </c>
      <c r="F8" s="378"/>
      <c r="G8" s="378">
        <v>1</v>
      </c>
    </row>
    <row r="9" spans="1:7">
      <c r="A9" s="377">
        <v>3</v>
      </c>
      <c r="B9" s="377" t="s">
        <v>310</v>
      </c>
      <c r="C9" s="377">
        <v>8</v>
      </c>
      <c r="D9" s="377" t="s">
        <v>312</v>
      </c>
      <c r="E9" s="377">
        <v>1</v>
      </c>
      <c r="F9" s="377"/>
      <c r="G9" s="377">
        <f t="shared" ref="G9:G15" si="0">SUM(E9:F9)</f>
        <v>1</v>
      </c>
    </row>
    <row r="10" spans="1:7">
      <c r="A10" s="377"/>
      <c r="B10" s="377"/>
      <c r="C10" s="377"/>
      <c r="D10" s="379" t="s">
        <v>288</v>
      </c>
      <c r="E10" s="380">
        <v>3</v>
      </c>
      <c r="F10" s="380">
        <f>SUM(F8:F9)</f>
        <v>0</v>
      </c>
      <c r="G10" s="380">
        <v>3</v>
      </c>
    </row>
    <row r="11" spans="1:7">
      <c r="A11" s="381">
        <v>4</v>
      </c>
      <c r="B11" s="377" t="s">
        <v>314</v>
      </c>
      <c r="C11" s="381">
        <v>9</v>
      </c>
      <c r="D11" s="381" t="s">
        <v>315</v>
      </c>
      <c r="E11" s="381"/>
      <c r="F11" s="381">
        <v>0.5</v>
      </c>
      <c r="G11" s="377">
        <f t="shared" si="0"/>
        <v>0.5</v>
      </c>
    </row>
    <row r="12" spans="1:7">
      <c r="A12" s="381">
        <v>5</v>
      </c>
      <c r="B12" s="381" t="s">
        <v>316</v>
      </c>
      <c r="C12" s="381">
        <v>6</v>
      </c>
      <c r="D12" s="381" t="s">
        <v>289</v>
      </c>
      <c r="E12" s="381"/>
      <c r="F12" s="381">
        <v>0.5</v>
      </c>
      <c r="G12" s="377">
        <f t="shared" si="0"/>
        <v>0.5</v>
      </c>
    </row>
    <row r="13" spans="1:7">
      <c r="A13" s="381">
        <v>6</v>
      </c>
      <c r="B13" s="381" t="s">
        <v>290</v>
      </c>
      <c r="C13" s="381">
        <v>3</v>
      </c>
      <c r="D13" s="377" t="s">
        <v>291</v>
      </c>
      <c r="E13" s="381"/>
      <c r="F13" s="381">
        <v>1</v>
      </c>
      <c r="G13" s="377">
        <f t="shared" si="0"/>
        <v>1</v>
      </c>
    </row>
    <row r="14" spans="1:7">
      <c r="A14" s="381">
        <v>7</v>
      </c>
      <c r="B14" s="381" t="s">
        <v>292</v>
      </c>
      <c r="C14" s="381">
        <v>5</v>
      </c>
      <c r="D14" s="381" t="s">
        <v>293</v>
      </c>
      <c r="E14" s="381"/>
      <c r="F14" s="381">
        <v>0.5</v>
      </c>
      <c r="G14" s="377">
        <f t="shared" si="0"/>
        <v>0.5</v>
      </c>
    </row>
    <row r="15" spans="1:7">
      <c r="A15" s="381">
        <v>8</v>
      </c>
      <c r="B15" s="381" t="s">
        <v>294</v>
      </c>
      <c r="C15" s="377">
        <v>6</v>
      </c>
      <c r="D15" s="381" t="s">
        <v>317</v>
      </c>
      <c r="E15" s="381"/>
      <c r="F15" s="381">
        <v>0.5</v>
      </c>
      <c r="G15" s="377">
        <f t="shared" si="0"/>
        <v>0.5</v>
      </c>
    </row>
    <row r="16" spans="1:7">
      <c r="A16" s="381">
        <v>9</v>
      </c>
      <c r="B16" s="381" t="s">
        <v>295</v>
      </c>
      <c r="C16" s="381">
        <v>4</v>
      </c>
      <c r="D16" s="381" t="s">
        <v>296</v>
      </c>
      <c r="E16" s="381"/>
      <c r="F16" s="381">
        <v>1</v>
      </c>
      <c r="G16" s="377">
        <v>1</v>
      </c>
    </row>
    <row r="17" spans="1:7">
      <c r="A17" s="381"/>
      <c r="B17" s="381"/>
      <c r="C17" s="381"/>
      <c r="D17" s="382" t="s">
        <v>297</v>
      </c>
      <c r="E17" s="381">
        <v>0</v>
      </c>
      <c r="F17" s="381">
        <v>4</v>
      </c>
      <c r="G17" s="381">
        <v>4</v>
      </c>
    </row>
    <row r="18" spans="1:7">
      <c r="A18" s="381"/>
      <c r="B18" s="381"/>
      <c r="C18" s="381"/>
      <c r="D18" s="382" t="s">
        <v>298</v>
      </c>
      <c r="E18" s="382">
        <v>3</v>
      </c>
      <c r="F18" s="382">
        <v>4</v>
      </c>
      <c r="G18" s="382">
        <v>7</v>
      </c>
    </row>
    <row r="21" spans="1:7" ht="15.75">
      <c r="A21" s="383" t="s">
        <v>299</v>
      </c>
      <c r="B21" s="383"/>
      <c r="C21" s="384"/>
      <c r="D21" s="384"/>
      <c r="E21" s="384" t="s">
        <v>300</v>
      </c>
    </row>
    <row r="22" spans="1:7" ht="15.75">
      <c r="A22" s="383"/>
      <c r="B22" s="383"/>
      <c r="C22" s="385"/>
      <c r="D22" s="385"/>
    </row>
    <row r="23" spans="1:7" ht="15.75">
      <c r="A23" s="386" t="s">
        <v>301</v>
      </c>
      <c r="B23" s="386"/>
      <c r="C23" s="384"/>
      <c r="D23" s="384"/>
      <c r="E23" s="384" t="s">
        <v>94</v>
      </c>
    </row>
  </sheetData>
  <mergeCells count="7">
    <mergeCell ref="A2:G2"/>
    <mergeCell ref="C3:F3"/>
    <mergeCell ref="A5:A6"/>
    <mergeCell ref="B5:B6"/>
    <mergeCell ref="C5:C6"/>
    <mergeCell ref="D5:D6"/>
    <mergeCell ref="E5:G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view="pageBreakPreview" topLeftCell="C22" zoomScale="85" zoomScaleNormal="80" zoomScaleSheetLayoutView="85" workbookViewId="0">
      <selection activeCell="AB34" sqref="AB34"/>
    </sheetView>
  </sheetViews>
  <sheetFormatPr defaultColWidth="9.140625" defaultRowHeight="15.75"/>
  <cols>
    <col min="1" max="1" width="9.140625" style="196"/>
    <col min="2" max="2" width="44.28515625" style="196" customWidth="1"/>
    <col min="3" max="3" width="20.7109375" style="196" customWidth="1"/>
    <col min="4" max="4" width="12" style="196" customWidth="1"/>
    <col min="5" max="5" width="13.140625" style="196" customWidth="1"/>
    <col min="6" max="6" width="8.7109375" style="196" customWidth="1"/>
    <col min="7" max="7" width="13.7109375" style="196" customWidth="1"/>
    <col min="8" max="8" width="12.28515625" style="241" customWidth="1"/>
    <col min="9" max="9" width="12.140625" style="196" customWidth="1"/>
    <col min="10" max="12" width="13.7109375" style="196" customWidth="1"/>
    <col min="13" max="13" width="10.5703125" style="196" bestFit="1" customWidth="1"/>
    <col min="14" max="14" width="13.5703125" style="196" customWidth="1"/>
    <col min="15" max="16" width="17.42578125" style="196" customWidth="1"/>
    <col min="17" max="17" width="9.140625" style="196" customWidth="1"/>
    <col min="18" max="18" width="11.5703125" style="196" customWidth="1"/>
    <col min="19" max="19" width="7" style="196" customWidth="1"/>
    <col min="20" max="20" width="11.85546875" style="196" customWidth="1"/>
    <col min="21" max="21" width="7.5703125" style="196" customWidth="1"/>
    <col min="22" max="22" width="11.42578125" style="196" customWidth="1"/>
    <col min="23" max="23" width="7.85546875" style="196" customWidth="1"/>
    <col min="24" max="24" width="12.140625" style="196" customWidth="1"/>
    <col min="25" max="25" width="7.7109375" style="196" customWidth="1"/>
    <col min="26" max="26" width="10" style="196" customWidth="1"/>
    <col min="27" max="27" width="7" style="196" customWidth="1"/>
    <col min="28" max="28" width="11.28515625" style="196" customWidth="1"/>
    <col min="29" max="29" width="12.7109375" style="196" customWidth="1"/>
    <col min="30" max="30" width="15.7109375" style="196" customWidth="1"/>
    <col min="31" max="31" width="16.85546875" style="196" customWidth="1"/>
    <col min="32" max="32" width="20.140625" style="196" customWidth="1"/>
    <col min="33" max="33" width="17" style="196" customWidth="1"/>
    <col min="34" max="16384" width="9.140625" style="196"/>
  </cols>
  <sheetData>
    <row r="1" spans="1:33" ht="18.75">
      <c r="A1" s="190"/>
      <c r="B1" s="191" t="s">
        <v>131</v>
      </c>
      <c r="C1" s="191"/>
      <c r="D1" s="192"/>
      <c r="E1" s="191" t="s">
        <v>131</v>
      </c>
      <c r="F1" s="191"/>
      <c r="G1" s="192"/>
      <c r="H1" s="193"/>
      <c r="I1" s="194"/>
      <c r="J1" s="192"/>
      <c r="K1" s="192"/>
      <c r="L1" s="192"/>
      <c r="M1" s="192"/>
      <c r="N1" s="192"/>
      <c r="O1" s="192"/>
      <c r="P1" s="192"/>
      <c r="Q1" s="192"/>
      <c r="R1" s="192"/>
      <c r="S1" s="190"/>
      <c r="T1" s="190"/>
      <c r="U1" s="190" t="s">
        <v>132</v>
      </c>
      <c r="V1" s="195"/>
    </row>
    <row r="2" spans="1:33" ht="18.75">
      <c r="A2" s="190"/>
      <c r="B2" s="191"/>
      <c r="C2" s="191"/>
      <c r="D2" s="192"/>
      <c r="E2" s="191"/>
      <c r="F2" s="191"/>
      <c r="G2" s="192"/>
      <c r="H2" s="193"/>
      <c r="I2" s="194"/>
      <c r="J2" s="192"/>
      <c r="K2" s="192"/>
      <c r="L2" s="192"/>
      <c r="M2" s="192"/>
      <c r="N2" s="192"/>
      <c r="O2" s="192"/>
      <c r="P2" s="192" t="s">
        <v>133</v>
      </c>
      <c r="Q2" s="192"/>
      <c r="R2" s="192"/>
      <c r="S2" s="190"/>
      <c r="T2" s="190"/>
      <c r="U2" s="190" t="s">
        <v>134</v>
      </c>
      <c r="V2" s="195"/>
    </row>
    <row r="3" spans="1:33" ht="47.25" customHeight="1">
      <c r="A3" s="190"/>
      <c r="B3" s="560" t="s">
        <v>135</v>
      </c>
      <c r="C3" s="560"/>
      <c r="D3" s="192"/>
      <c r="E3" s="561" t="s">
        <v>136</v>
      </c>
      <c r="F3" s="561"/>
      <c r="G3" s="561"/>
      <c r="H3" s="561"/>
      <c r="I3" s="561"/>
      <c r="J3" s="561"/>
      <c r="K3" s="561"/>
      <c r="L3" s="561"/>
      <c r="M3" s="561"/>
      <c r="N3" s="192"/>
      <c r="O3" s="192"/>
      <c r="P3" s="197" t="s">
        <v>137</v>
      </c>
      <c r="Q3" s="562"/>
      <c r="R3" s="562"/>
      <c r="S3" s="198"/>
      <c r="T3" s="190"/>
      <c r="U3" s="192" t="s">
        <v>138</v>
      </c>
      <c r="V3" s="195"/>
    </row>
    <row r="4" spans="1:33" ht="18.75">
      <c r="A4" s="190"/>
      <c r="B4" s="191"/>
      <c r="C4" s="191"/>
      <c r="D4" s="192"/>
      <c r="E4" s="191"/>
      <c r="F4" s="191"/>
      <c r="G4" s="192"/>
      <c r="H4" s="193"/>
      <c r="I4" s="194"/>
      <c r="J4" s="192"/>
      <c r="K4" s="192"/>
      <c r="L4" s="192"/>
      <c r="M4" s="192"/>
      <c r="N4" s="192"/>
      <c r="O4" s="563"/>
      <c r="P4" s="563"/>
      <c r="Q4" s="563"/>
      <c r="R4" s="563"/>
      <c r="S4" s="563"/>
      <c r="T4" s="563"/>
      <c r="U4" s="563"/>
      <c r="V4" s="195"/>
    </row>
    <row r="5" spans="1:33" ht="18.75">
      <c r="A5" s="190"/>
      <c r="B5" s="199" t="s">
        <v>139</v>
      </c>
      <c r="C5" s="191" t="s">
        <v>140</v>
      </c>
      <c r="D5" s="192"/>
      <c r="E5" s="199"/>
      <c r="F5" s="200"/>
      <c r="G5" s="192" t="s">
        <v>141</v>
      </c>
      <c r="H5" s="191"/>
      <c r="I5" s="192"/>
      <c r="J5" s="192"/>
      <c r="K5" s="192"/>
      <c r="L5" s="192"/>
      <c r="M5" s="192"/>
      <c r="N5" s="192"/>
      <c r="O5" s="192"/>
      <c r="P5" s="192" t="s">
        <v>142</v>
      </c>
      <c r="Q5" s="192"/>
      <c r="R5" s="192"/>
      <c r="S5" s="190"/>
      <c r="T5" s="192"/>
      <c r="U5" s="563" t="s">
        <v>143</v>
      </c>
      <c r="V5" s="563"/>
      <c r="W5" s="563"/>
      <c r="X5" s="563"/>
      <c r="Y5" s="563"/>
      <c r="Z5" s="563"/>
      <c r="AA5" s="563"/>
    </row>
    <row r="6" spans="1:33" ht="18.75">
      <c r="A6" s="190"/>
      <c r="B6" s="191"/>
      <c r="C6" s="191"/>
      <c r="D6" s="192"/>
      <c r="E6" s="191"/>
      <c r="F6" s="191"/>
      <c r="G6" s="192"/>
      <c r="H6" s="193"/>
      <c r="I6" s="194"/>
      <c r="J6" s="192"/>
      <c r="K6" s="192"/>
      <c r="L6" s="192"/>
      <c r="M6" s="192"/>
      <c r="N6" s="192"/>
      <c r="O6" s="192"/>
      <c r="P6" s="192"/>
      <c r="Q6" s="192"/>
      <c r="R6" s="192"/>
      <c r="S6" s="190"/>
      <c r="T6" s="190"/>
      <c r="U6" s="190"/>
      <c r="V6" s="195"/>
    </row>
    <row r="7" spans="1:33" ht="18.75">
      <c r="A7" s="190"/>
      <c r="B7" s="201" t="s">
        <v>367</v>
      </c>
      <c r="C7" s="191"/>
      <c r="D7" s="192"/>
      <c r="E7" s="201" t="s">
        <v>367</v>
      </c>
      <c r="F7" s="191"/>
      <c r="G7" s="192"/>
      <c r="H7" s="193"/>
      <c r="I7" s="194"/>
      <c r="J7" s="192"/>
      <c r="K7" s="192"/>
      <c r="L7" s="192"/>
      <c r="M7" s="192"/>
      <c r="N7" s="192"/>
      <c r="O7" s="192"/>
      <c r="P7" s="192" t="s">
        <v>144</v>
      </c>
      <c r="Q7" s="192"/>
      <c r="R7" s="192"/>
      <c r="S7" s="190"/>
      <c r="T7" s="190"/>
      <c r="U7" s="192" t="s">
        <v>145</v>
      </c>
      <c r="V7" s="195"/>
    </row>
    <row r="8" spans="1:33" ht="18.75">
      <c r="A8" s="190"/>
      <c r="B8" s="202"/>
      <c r="C8" s="203"/>
      <c r="D8" s="190"/>
      <c r="E8" s="190"/>
      <c r="F8" s="190"/>
      <c r="G8" s="190"/>
      <c r="H8" s="204"/>
      <c r="I8" s="205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5"/>
    </row>
    <row r="9" spans="1:33" ht="18.75">
      <c r="A9" s="190"/>
      <c r="B9" s="203"/>
      <c r="C9" s="203"/>
      <c r="D9" s="190"/>
      <c r="E9" s="190"/>
      <c r="F9" s="190"/>
      <c r="G9" s="190"/>
      <c r="H9" s="193" t="s">
        <v>146</v>
      </c>
      <c r="I9" s="194"/>
      <c r="J9" s="190"/>
      <c r="K9" s="190"/>
      <c r="L9" s="190"/>
      <c r="M9" s="190"/>
      <c r="N9" s="190"/>
      <c r="O9" s="190"/>
      <c r="P9" s="190" t="s">
        <v>368</v>
      </c>
      <c r="Q9" s="190"/>
      <c r="R9" s="190"/>
      <c r="S9" s="190"/>
      <c r="T9" s="190"/>
      <c r="U9" s="192" t="s">
        <v>369</v>
      </c>
      <c r="V9" s="195"/>
    </row>
    <row r="10" spans="1:33" ht="18.75">
      <c r="A10" s="190"/>
      <c r="B10" s="206" t="s">
        <v>147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195"/>
      <c r="O10" s="195"/>
      <c r="P10" s="195"/>
      <c r="Q10" s="195"/>
      <c r="R10" s="192"/>
      <c r="S10" s="195"/>
      <c r="T10" s="195"/>
      <c r="U10" s="190"/>
      <c r="V10" s="195"/>
    </row>
    <row r="11" spans="1:33" ht="18.75">
      <c r="A11" s="190"/>
      <c r="B11" s="203"/>
      <c r="C11" s="191"/>
      <c r="D11" s="192"/>
      <c r="E11" s="192"/>
      <c r="F11" s="192"/>
      <c r="G11" s="192"/>
      <c r="H11" s="204"/>
      <c r="I11" s="205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5"/>
    </row>
    <row r="12" spans="1:33" ht="19.5" thickBot="1">
      <c r="A12" s="190"/>
      <c r="B12" s="191" t="s">
        <v>148</v>
      </c>
      <c r="C12" s="191"/>
      <c r="D12" s="192" t="s">
        <v>84</v>
      </c>
      <c r="E12" s="192"/>
      <c r="F12" s="192">
        <v>78</v>
      </c>
      <c r="G12" s="192"/>
      <c r="H12" s="204"/>
      <c r="I12" s="205"/>
      <c r="J12" s="190"/>
      <c r="K12" s="190"/>
      <c r="L12" s="190"/>
      <c r="M12" s="190"/>
      <c r="N12" s="190"/>
      <c r="O12" s="190"/>
      <c r="P12" s="190"/>
      <c r="Q12" s="190"/>
      <c r="R12" s="190"/>
      <c r="S12" s="559"/>
      <c r="T12" s="559"/>
      <c r="U12" s="559"/>
      <c r="V12" s="195"/>
    </row>
    <row r="15" spans="1:33" ht="20.25">
      <c r="A15" s="207"/>
      <c r="B15" s="393" t="s">
        <v>331</v>
      </c>
      <c r="C15" s="207"/>
      <c r="D15" s="207"/>
      <c r="E15" s="207"/>
      <c r="F15" s="207"/>
      <c r="G15" s="208" t="s">
        <v>149</v>
      </c>
      <c r="H15" s="209">
        <v>17697</v>
      </c>
      <c r="I15" s="207"/>
      <c r="J15" s="564"/>
      <c r="K15" s="564"/>
      <c r="L15" s="564"/>
      <c r="M15" s="564"/>
      <c r="N15" s="564"/>
      <c r="O15" s="210"/>
      <c r="P15" s="210"/>
      <c r="Q15" s="211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</row>
    <row r="16" spans="1:33" ht="18" customHeight="1">
      <c r="A16" s="565" t="s">
        <v>150</v>
      </c>
      <c r="B16" s="565" t="s">
        <v>151</v>
      </c>
      <c r="C16" s="565" t="s">
        <v>152</v>
      </c>
      <c r="D16" s="565" t="s">
        <v>153</v>
      </c>
      <c r="E16" s="566" t="s">
        <v>154</v>
      </c>
      <c r="F16" s="566"/>
      <c r="G16" s="567" t="s">
        <v>155</v>
      </c>
      <c r="H16" s="570" t="s">
        <v>156</v>
      </c>
      <c r="I16" s="573" t="s">
        <v>157</v>
      </c>
      <c r="J16" s="565" t="s">
        <v>158</v>
      </c>
      <c r="K16" s="212"/>
      <c r="L16" s="212"/>
      <c r="M16" s="573" t="s">
        <v>159</v>
      </c>
      <c r="N16" s="585"/>
      <c r="O16" s="567" t="s">
        <v>160</v>
      </c>
      <c r="P16" s="212"/>
      <c r="Q16" s="586" t="s">
        <v>161</v>
      </c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8"/>
      <c r="AF16" s="576" t="s">
        <v>162</v>
      </c>
      <c r="AG16" s="213"/>
    </row>
    <row r="17" spans="1:33" s="216" customFormat="1" ht="96.75" customHeight="1">
      <c r="A17" s="565"/>
      <c r="B17" s="565"/>
      <c r="C17" s="565"/>
      <c r="D17" s="565"/>
      <c r="E17" s="565" t="s">
        <v>163</v>
      </c>
      <c r="F17" s="577" t="s">
        <v>164</v>
      </c>
      <c r="G17" s="568"/>
      <c r="H17" s="571"/>
      <c r="I17" s="574"/>
      <c r="J17" s="565"/>
      <c r="K17" s="574" t="s">
        <v>366</v>
      </c>
      <c r="L17" s="583"/>
      <c r="M17" s="575"/>
      <c r="N17" s="584"/>
      <c r="O17" s="568"/>
      <c r="P17" s="214" t="s">
        <v>165</v>
      </c>
      <c r="Q17" s="565" t="s">
        <v>166</v>
      </c>
      <c r="R17" s="565"/>
      <c r="S17" s="578" t="s">
        <v>167</v>
      </c>
      <c r="T17" s="578"/>
      <c r="U17" s="578">
        <v>0.3</v>
      </c>
      <c r="V17" s="578"/>
      <c r="W17" s="578" t="s">
        <v>168</v>
      </c>
      <c r="X17" s="578"/>
      <c r="Y17" s="578" t="s">
        <v>169</v>
      </c>
      <c r="Z17" s="578"/>
      <c r="AA17" s="565" t="s">
        <v>170</v>
      </c>
      <c r="AB17" s="565"/>
      <c r="AC17" s="579" t="s">
        <v>171</v>
      </c>
      <c r="AD17" s="580"/>
      <c r="AE17" s="567" t="s">
        <v>172</v>
      </c>
      <c r="AF17" s="576"/>
      <c r="AG17" s="215"/>
    </row>
    <row r="18" spans="1:33" s="216" customFormat="1" ht="54" customHeight="1">
      <c r="A18" s="565"/>
      <c r="B18" s="565"/>
      <c r="C18" s="565"/>
      <c r="D18" s="565"/>
      <c r="E18" s="565"/>
      <c r="F18" s="577"/>
      <c r="G18" s="569"/>
      <c r="H18" s="572"/>
      <c r="I18" s="575"/>
      <c r="J18" s="565"/>
      <c r="K18" s="575"/>
      <c r="L18" s="584"/>
      <c r="M18" s="217" t="s">
        <v>173</v>
      </c>
      <c r="N18" s="218" t="s">
        <v>174</v>
      </c>
      <c r="O18" s="569"/>
      <c r="P18" s="219"/>
      <c r="Q18" s="220" t="s">
        <v>175</v>
      </c>
      <c r="R18" s="220" t="s">
        <v>176</v>
      </c>
      <c r="S18" s="220" t="s">
        <v>175</v>
      </c>
      <c r="T18" s="220" t="s">
        <v>176</v>
      </c>
      <c r="U18" s="220" t="s">
        <v>175</v>
      </c>
      <c r="V18" s="220" t="s">
        <v>176</v>
      </c>
      <c r="W18" s="220" t="s">
        <v>40</v>
      </c>
      <c r="X18" s="220" t="s">
        <v>174</v>
      </c>
      <c r="Y18" s="220" t="s">
        <v>177</v>
      </c>
      <c r="Z18" s="220" t="s">
        <v>176</v>
      </c>
      <c r="AA18" s="220" t="s">
        <v>177</v>
      </c>
      <c r="AB18" s="220" t="s">
        <v>176</v>
      </c>
      <c r="AC18" s="220" t="s">
        <v>178</v>
      </c>
      <c r="AD18" s="221" t="s">
        <v>176</v>
      </c>
      <c r="AE18" s="569"/>
      <c r="AF18" s="576"/>
      <c r="AG18" s="215"/>
    </row>
    <row r="19" spans="1:33" ht="19.5" customHeight="1">
      <c r="A19" s="222">
        <v>1</v>
      </c>
      <c r="B19" s="222">
        <v>2</v>
      </c>
      <c r="C19" s="222">
        <v>3</v>
      </c>
      <c r="D19" s="222">
        <v>4</v>
      </c>
      <c r="E19" s="222">
        <v>5</v>
      </c>
      <c r="F19" s="222">
        <v>6</v>
      </c>
      <c r="G19" s="222">
        <v>7</v>
      </c>
      <c r="H19" s="222">
        <v>8</v>
      </c>
      <c r="I19" s="222">
        <v>9</v>
      </c>
      <c r="J19" s="222">
        <v>10</v>
      </c>
      <c r="K19" s="222"/>
      <c r="L19" s="222"/>
      <c r="M19" s="222">
        <v>11</v>
      </c>
      <c r="N19" s="222">
        <v>12</v>
      </c>
      <c r="O19" s="222">
        <v>13</v>
      </c>
      <c r="P19" s="222"/>
      <c r="Q19" s="222">
        <v>14</v>
      </c>
      <c r="R19" s="222">
        <v>15</v>
      </c>
      <c r="S19" s="222">
        <v>16</v>
      </c>
      <c r="T19" s="222">
        <v>17</v>
      </c>
      <c r="U19" s="222">
        <v>18</v>
      </c>
      <c r="V19" s="222">
        <v>19</v>
      </c>
      <c r="W19" s="222">
        <v>20</v>
      </c>
      <c r="X19" s="222">
        <v>21</v>
      </c>
      <c r="Y19" s="222">
        <v>22</v>
      </c>
      <c r="Z19" s="222">
        <v>23</v>
      </c>
      <c r="AA19" s="222">
        <v>24</v>
      </c>
      <c r="AB19" s="222">
        <v>25</v>
      </c>
      <c r="AC19" s="222"/>
      <c r="AD19" s="222">
        <v>26</v>
      </c>
      <c r="AE19" s="222">
        <v>27</v>
      </c>
      <c r="AF19" s="222">
        <v>28</v>
      </c>
      <c r="AG19" s="213"/>
    </row>
    <row r="20" spans="1:33" ht="24.95" customHeight="1">
      <c r="A20" s="223">
        <v>1</v>
      </c>
      <c r="B20" s="399" t="s">
        <v>179</v>
      </c>
      <c r="C20" s="399" t="s">
        <v>180</v>
      </c>
      <c r="D20" s="399" t="s">
        <v>181</v>
      </c>
      <c r="E20" s="416" t="s">
        <v>182</v>
      </c>
      <c r="F20" s="399"/>
      <c r="G20" s="399" t="s">
        <v>359</v>
      </c>
      <c r="H20" s="405">
        <v>5.01</v>
      </c>
      <c r="I20" s="399">
        <v>0.5</v>
      </c>
      <c r="J20" s="398">
        <f t="shared" ref="J20:J33" si="0">$H$15*H20*I20</f>
        <v>44330.985000000001</v>
      </c>
      <c r="K20" s="398">
        <v>100</v>
      </c>
      <c r="L20" s="398">
        <f>SUM(J20*K20)/100</f>
        <v>44330.985000000001</v>
      </c>
      <c r="M20" s="399">
        <v>25</v>
      </c>
      <c r="N20" s="398">
        <f>SUM(J20+L20)*M20/100</f>
        <v>22165.4925</v>
      </c>
      <c r="O20" s="398">
        <f>J20+L20+N20</f>
        <v>110827.46249999999</v>
      </c>
      <c r="P20" s="398"/>
      <c r="Q20" s="399"/>
      <c r="R20" s="399">
        <f>SUM($H$15*0.2)*Q20</f>
        <v>0</v>
      </c>
      <c r="S20" s="399"/>
      <c r="T20" s="399">
        <f>$H$15*0.2*S20</f>
        <v>0</v>
      </c>
      <c r="U20" s="398"/>
      <c r="V20" s="399">
        <f>$H$15*0.3*U20</f>
        <v>0</v>
      </c>
      <c r="W20" s="399"/>
      <c r="X20" s="399">
        <f t="shared" ref="X20:X35" si="1">SUM($H$15*W20/100)</f>
        <v>0</v>
      </c>
      <c r="Y20" s="399"/>
      <c r="Z20" s="399">
        <f t="shared" ref="Z20:Z36" si="2">SUM($H$15*H20/168*24)/6*Y20</f>
        <v>0</v>
      </c>
      <c r="AA20" s="399"/>
      <c r="AB20" s="399">
        <f t="shared" ref="AB20:AB27" si="3">SUM($H$15*H20*I20*0.5/168*8)*AA20</f>
        <v>0</v>
      </c>
      <c r="AC20" s="399">
        <v>0.5</v>
      </c>
      <c r="AD20" s="398">
        <f>O20*10%</f>
        <v>11082.74625</v>
      </c>
      <c r="AE20" s="398">
        <f t="shared" ref="AE20:AE36" si="4">SUM(R20,T20,V20,Z20,X20,AD20,AB20)</f>
        <v>11082.74625</v>
      </c>
      <c r="AF20" s="398">
        <f>O20+AE20</f>
        <v>121910.20874999999</v>
      </c>
      <c r="AG20" s="213"/>
    </row>
    <row r="21" spans="1:33" ht="24.95" customHeight="1">
      <c r="A21" s="223">
        <v>2</v>
      </c>
      <c r="B21" s="399" t="s">
        <v>183</v>
      </c>
      <c r="C21" s="399" t="s">
        <v>184</v>
      </c>
      <c r="D21" s="399" t="s">
        <v>181</v>
      </c>
      <c r="E21" s="416" t="s">
        <v>185</v>
      </c>
      <c r="F21" s="399"/>
      <c r="G21" s="399" t="s">
        <v>360</v>
      </c>
      <c r="H21" s="405">
        <v>5.62</v>
      </c>
      <c r="I21" s="399">
        <v>1</v>
      </c>
      <c r="J21" s="398">
        <f t="shared" si="0"/>
        <v>99457.14</v>
      </c>
      <c r="K21" s="398">
        <v>100</v>
      </c>
      <c r="L21" s="398">
        <f t="shared" ref="L21:L36" si="5">SUM(J21*K21)/100</f>
        <v>99457.14</v>
      </c>
      <c r="M21" s="399">
        <v>25</v>
      </c>
      <c r="N21" s="398">
        <f t="shared" ref="N21:N36" si="6">SUM(J21+L21)*M21/100</f>
        <v>49728.57</v>
      </c>
      <c r="O21" s="398">
        <f t="shared" ref="O21:O36" si="7">J21+L21+N21</f>
        <v>248642.85</v>
      </c>
      <c r="P21" s="398"/>
      <c r="Q21" s="399"/>
      <c r="R21" s="399">
        <f t="shared" ref="R21:R36" si="8">SUM($H$15*0.2)*Q21</f>
        <v>0</v>
      </c>
      <c r="S21" s="399"/>
      <c r="T21" s="399">
        <f t="shared" ref="T21:T25" si="9">$H$15*0.2*S21</f>
        <v>0</v>
      </c>
      <c r="U21" s="398"/>
      <c r="V21" s="399">
        <f t="shared" ref="V21:V25" si="10">$H$15*0.3*U21</f>
        <v>0</v>
      </c>
      <c r="W21" s="399"/>
      <c r="X21" s="399">
        <f t="shared" si="1"/>
        <v>0</v>
      </c>
      <c r="Y21" s="399"/>
      <c r="Z21" s="399">
        <f t="shared" si="2"/>
        <v>0</v>
      </c>
      <c r="AA21" s="399"/>
      <c r="AB21" s="399">
        <f t="shared" si="3"/>
        <v>0</v>
      </c>
      <c r="AC21" s="399">
        <v>1</v>
      </c>
      <c r="AD21" s="398">
        <f t="shared" ref="AD21:AD36" si="11">O21*10%</f>
        <v>24864.285000000003</v>
      </c>
      <c r="AE21" s="398">
        <f t="shared" si="4"/>
        <v>24864.285000000003</v>
      </c>
      <c r="AF21" s="398">
        <f t="shared" ref="AF21:AF36" si="12">O21+AE21</f>
        <v>273507.13500000001</v>
      </c>
      <c r="AG21" s="213"/>
    </row>
    <row r="22" spans="1:33" ht="24.95" customHeight="1">
      <c r="A22" s="223">
        <v>3</v>
      </c>
      <c r="B22" s="399" t="s">
        <v>186</v>
      </c>
      <c r="C22" s="399" t="s">
        <v>187</v>
      </c>
      <c r="D22" s="399" t="s">
        <v>188</v>
      </c>
      <c r="E22" s="416" t="s">
        <v>185</v>
      </c>
      <c r="F22" s="399"/>
      <c r="G22" s="399" t="s">
        <v>361</v>
      </c>
      <c r="H22" s="405">
        <v>5.17</v>
      </c>
      <c r="I22" s="399">
        <v>1</v>
      </c>
      <c r="J22" s="398">
        <f t="shared" si="0"/>
        <v>91493.49</v>
      </c>
      <c r="K22" s="398">
        <v>100</v>
      </c>
      <c r="L22" s="398">
        <f t="shared" si="5"/>
        <v>91493.49</v>
      </c>
      <c r="M22" s="399">
        <v>25</v>
      </c>
      <c r="N22" s="398">
        <f t="shared" si="6"/>
        <v>45746.745000000003</v>
      </c>
      <c r="O22" s="398">
        <f t="shared" si="7"/>
        <v>228733.72500000001</v>
      </c>
      <c r="P22" s="398"/>
      <c r="Q22" s="399"/>
      <c r="R22" s="399">
        <f t="shared" si="8"/>
        <v>0</v>
      </c>
      <c r="S22" s="399"/>
      <c r="T22" s="399">
        <f t="shared" si="9"/>
        <v>0</v>
      </c>
      <c r="U22" s="398"/>
      <c r="V22" s="399">
        <f t="shared" si="10"/>
        <v>0</v>
      </c>
      <c r="W22" s="399"/>
      <c r="X22" s="399">
        <f t="shared" si="1"/>
        <v>0</v>
      </c>
      <c r="Y22" s="399"/>
      <c r="Z22" s="399">
        <f t="shared" si="2"/>
        <v>0</v>
      </c>
      <c r="AA22" s="399"/>
      <c r="AB22" s="399">
        <f t="shared" si="3"/>
        <v>0</v>
      </c>
      <c r="AC22" s="399">
        <v>1</v>
      </c>
      <c r="AD22" s="398">
        <f t="shared" si="11"/>
        <v>22873.372500000001</v>
      </c>
      <c r="AE22" s="398">
        <f t="shared" si="4"/>
        <v>22873.372500000001</v>
      </c>
      <c r="AF22" s="398">
        <f t="shared" si="12"/>
        <v>251607.0975</v>
      </c>
      <c r="AG22" s="213"/>
    </row>
    <row r="23" spans="1:33" ht="24.95" customHeight="1">
      <c r="A23" s="223">
        <v>4</v>
      </c>
      <c r="B23" s="399" t="s">
        <v>362</v>
      </c>
      <c r="C23" s="399" t="s">
        <v>189</v>
      </c>
      <c r="D23" s="399" t="s">
        <v>188</v>
      </c>
      <c r="E23" s="416" t="s">
        <v>29</v>
      </c>
      <c r="F23" s="399"/>
      <c r="G23" s="399" t="s">
        <v>121</v>
      </c>
      <c r="H23" s="405">
        <v>4.33</v>
      </c>
      <c r="I23" s="399">
        <v>1</v>
      </c>
      <c r="J23" s="398">
        <f t="shared" si="0"/>
        <v>76628.009999999995</v>
      </c>
      <c r="K23" s="398">
        <v>100</v>
      </c>
      <c r="L23" s="398">
        <f t="shared" si="5"/>
        <v>76628.009999999995</v>
      </c>
      <c r="M23" s="399">
        <v>25</v>
      </c>
      <c r="N23" s="398">
        <f t="shared" si="6"/>
        <v>38314.004999999997</v>
      </c>
      <c r="O23" s="398">
        <f t="shared" si="7"/>
        <v>191570.02499999999</v>
      </c>
      <c r="P23" s="398"/>
      <c r="Q23" s="399"/>
      <c r="R23" s="399">
        <f t="shared" si="8"/>
        <v>0</v>
      </c>
      <c r="S23" s="399"/>
      <c r="T23" s="399">
        <f t="shared" si="9"/>
        <v>0</v>
      </c>
      <c r="U23" s="398"/>
      <c r="V23" s="399">
        <f t="shared" si="10"/>
        <v>0</v>
      </c>
      <c r="W23" s="399"/>
      <c r="X23" s="399">
        <f t="shared" si="1"/>
        <v>0</v>
      </c>
      <c r="Y23" s="399"/>
      <c r="Z23" s="399">
        <f t="shared" si="2"/>
        <v>0</v>
      </c>
      <c r="AA23" s="399"/>
      <c r="AB23" s="399">
        <f t="shared" si="3"/>
        <v>0</v>
      </c>
      <c r="AC23" s="399">
        <v>1</v>
      </c>
      <c r="AD23" s="398">
        <f t="shared" si="11"/>
        <v>19157.002499999999</v>
      </c>
      <c r="AE23" s="398">
        <f t="shared" si="4"/>
        <v>19157.002499999999</v>
      </c>
      <c r="AF23" s="398">
        <f t="shared" si="12"/>
        <v>210727.0275</v>
      </c>
      <c r="AG23" s="213"/>
    </row>
    <row r="24" spans="1:33" ht="24.95" customHeight="1">
      <c r="A24" s="223">
        <v>5</v>
      </c>
      <c r="B24" s="403" t="s">
        <v>202</v>
      </c>
      <c r="C24" s="399" t="s">
        <v>363</v>
      </c>
      <c r="D24" s="224" t="s">
        <v>11</v>
      </c>
      <c r="E24" s="395" t="s">
        <v>195</v>
      </c>
      <c r="F24" s="404"/>
      <c r="G24" s="399" t="s">
        <v>364</v>
      </c>
      <c r="H24" s="420">
        <v>3.35</v>
      </c>
      <c r="I24" s="399">
        <v>0.5</v>
      </c>
      <c r="J24" s="398">
        <f t="shared" si="0"/>
        <v>29642.475000000002</v>
      </c>
      <c r="K24" s="398">
        <v>45</v>
      </c>
      <c r="L24" s="398">
        <f t="shared" si="5"/>
        <v>13339.11375</v>
      </c>
      <c r="M24" s="399">
        <v>25</v>
      </c>
      <c r="N24" s="398">
        <f t="shared" si="6"/>
        <v>10745.397187500001</v>
      </c>
      <c r="O24" s="398">
        <f t="shared" si="7"/>
        <v>53726.985937500001</v>
      </c>
      <c r="P24" s="398"/>
      <c r="Q24" s="399">
        <v>0.5</v>
      </c>
      <c r="R24" s="399">
        <f>SUM($H$15*0.3)*Q24</f>
        <v>2654.5499999999997</v>
      </c>
      <c r="S24" s="399"/>
      <c r="T24" s="399">
        <f t="shared" si="9"/>
        <v>0</v>
      </c>
      <c r="U24" s="398"/>
      <c r="V24" s="399">
        <f t="shared" si="10"/>
        <v>0</v>
      </c>
      <c r="W24" s="399"/>
      <c r="X24" s="399">
        <f t="shared" si="1"/>
        <v>0</v>
      </c>
      <c r="Y24" s="399"/>
      <c r="Z24" s="399">
        <f t="shared" si="2"/>
        <v>0</v>
      </c>
      <c r="AA24" s="399"/>
      <c r="AB24" s="399">
        <f t="shared" si="3"/>
        <v>0</v>
      </c>
      <c r="AC24" s="399">
        <v>0.5</v>
      </c>
      <c r="AD24" s="398">
        <f t="shared" si="11"/>
        <v>5372.6985937500003</v>
      </c>
      <c r="AE24" s="398">
        <f t="shared" si="4"/>
        <v>8027.2485937500005</v>
      </c>
      <c r="AF24" s="398">
        <f t="shared" si="12"/>
        <v>61754.234531250004</v>
      </c>
      <c r="AG24" s="213"/>
    </row>
    <row r="25" spans="1:33" ht="24.95" customHeight="1">
      <c r="A25" s="223">
        <v>6</v>
      </c>
      <c r="B25" s="417" t="s">
        <v>190</v>
      </c>
      <c r="C25" s="418" t="s">
        <v>191</v>
      </c>
      <c r="D25" s="399" t="s">
        <v>188</v>
      </c>
      <c r="E25" s="416" t="s">
        <v>192</v>
      </c>
      <c r="F25" s="399"/>
      <c r="G25" s="409" t="s">
        <v>365</v>
      </c>
      <c r="H25" s="405">
        <v>2.94</v>
      </c>
      <c r="I25" s="399">
        <v>1</v>
      </c>
      <c r="J25" s="398">
        <f t="shared" si="0"/>
        <v>52029.18</v>
      </c>
      <c r="K25" s="398">
        <v>45</v>
      </c>
      <c r="L25" s="398">
        <f t="shared" si="5"/>
        <v>23413.131000000001</v>
      </c>
      <c r="M25" s="399"/>
      <c r="N25" s="398">
        <f t="shared" si="6"/>
        <v>0</v>
      </c>
      <c r="O25" s="398">
        <f t="shared" si="7"/>
        <v>75442.311000000002</v>
      </c>
      <c r="P25" s="398"/>
      <c r="Q25" s="399"/>
      <c r="R25" s="399">
        <f t="shared" si="8"/>
        <v>0</v>
      </c>
      <c r="S25" s="399"/>
      <c r="T25" s="399">
        <f t="shared" si="9"/>
        <v>0</v>
      </c>
      <c r="U25" s="398"/>
      <c r="V25" s="399">
        <f t="shared" si="10"/>
        <v>0</v>
      </c>
      <c r="W25" s="399"/>
      <c r="X25" s="399">
        <f t="shared" si="1"/>
        <v>0</v>
      </c>
      <c r="Y25" s="399"/>
      <c r="Z25" s="399">
        <f t="shared" si="2"/>
        <v>0</v>
      </c>
      <c r="AA25" s="399"/>
      <c r="AB25" s="399">
        <f t="shared" si="3"/>
        <v>0</v>
      </c>
      <c r="AC25" s="399">
        <v>1</v>
      </c>
      <c r="AD25" s="398">
        <f t="shared" si="11"/>
        <v>7544.2311000000009</v>
      </c>
      <c r="AE25" s="398">
        <f t="shared" si="4"/>
        <v>7544.2311000000009</v>
      </c>
      <c r="AF25" s="398">
        <f t="shared" si="12"/>
        <v>82986.542100000006</v>
      </c>
      <c r="AG25" s="213"/>
    </row>
    <row r="26" spans="1:33" ht="24.95" customHeight="1">
      <c r="A26" s="223">
        <v>7</v>
      </c>
      <c r="B26" s="403" t="s">
        <v>362</v>
      </c>
      <c r="C26" s="403" t="s">
        <v>193</v>
      </c>
      <c r="D26" s="403" t="s">
        <v>194</v>
      </c>
      <c r="E26" s="395" t="s">
        <v>195</v>
      </c>
      <c r="F26" s="403"/>
      <c r="G26" s="419" t="s">
        <v>327</v>
      </c>
      <c r="H26" s="405">
        <v>3.35</v>
      </c>
      <c r="I26" s="403">
        <v>1</v>
      </c>
      <c r="J26" s="397">
        <f t="shared" si="0"/>
        <v>59284.950000000004</v>
      </c>
      <c r="K26" s="398">
        <v>45</v>
      </c>
      <c r="L26" s="398">
        <f t="shared" si="5"/>
        <v>26678.227500000001</v>
      </c>
      <c r="M26" s="399"/>
      <c r="N26" s="398">
        <f t="shared" si="6"/>
        <v>0</v>
      </c>
      <c r="O26" s="398">
        <f t="shared" si="7"/>
        <v>85963.177500000005</v>
      </c>
      <c r="P26" s="398"/>
      <c r="Q26" s="399"/>
      <c r="R26" s="399">
        <f t="shared" si="8"/>
        <v>0</v>
      </c>
      <c r="S26" s="399"/>
      <c r="T26" s="399">
        <f>$H$15*0.2*S26</f>
        <v>0</v>
      </c>
      <c r="U26" s="398"/>
      <c r="V26" s="399">
        <f t="shared" ref="V26:V36" si="13">$H$15*0.3*U26</f>
        <v>0</v>
      </c>
      <c r="W26" s="399"/>
      <c r="X26" s="399">
        <f t="shared" si="1"/>
        <v>0</v>
      </c>
      <c r="Y26" s="399"/>
      <c r="Z26" s="399">
        <f t="shared" si="2"/>
        <v>0</v>
      </c>
      <c r="AA26" s="399"/>
      <c r="AB26" s="399">
        <f t="shared" si="3"/>
        <v>0</v>
      </c>
      <c r="AC26" s="403">
        <v>1</v>
      </c>
      <c r="AD26" s="398">
        <f t="shared" si="11"/>
        <v>8596.3177500000002</v>
      </c>
      <c r="AE26" s="398">
        <f t="shared" si="4"/>
        <v>8596.3177500000002</v>
      </c>
      <c r="AF26" s="398">
        <f t="shared" si="12"/>
        <v>94559.495250000007</v>
      </c>
      <c r="AG26" s="213"/>
    </row>
    <row r="27" spans="1:33" ht="24.95" customHeight="1">
      <c r="A27" s="223">
        <v>8</v>
      </c>
      <c r="B27" s="403" t="s">
        <v>196</v>
      </c>
      <c r="C27" s="403" t="s">
        <v>201</v>
      </c>
      <c r="D27" s="403" t="s">
        <v>197</v>
      </c>
      <c r="E27" s="395">
        <v>2</v>
      </c>
      <c r="F27" s="403"/>
      <c r="G27" s="419"/>
      <c r="H27" s="405">
        <v>2.81</v>
      </c>
      <c r="I27" s="403">
        <v>1</v>
      </c>
      <c r="J27" s="397">
        <f t="shared" si="0"/>
        <v>49728.57</v>
      </c>
      <c r="K27" s="398">
        <v>45</v>
      </c>
      <c r="L27" s="398">
        <f t="shared" si="5"/>
        <v>22377.856499999998</v>
      </c>
      <c r="M27" s="399"/>
      <c r="N27" s="398">
        <f t="shared" si="6"/>
        <v>0</v>
      </c>
      <c r="O27" s="398">
        <f t="shared" si="7"/>
        <v>72106.426500000001</v>
      </c>
      <c r="P27" s="398"/>
      <c r="Q27" s="399"/>
      <c r="R27" s="399">
        <f t="shared" si="8"/>
        <v>0</v>
      </c>
      <c r="S27" s="399">
        <v>1</v>
      </c>
      <c r="T27" s="399">
        <f t="shared" ref="T27:T30" si="14">$H$15*0.2*S27</f>
        <v>3539.4</v>
      </c>
      <c r="U27" s="398">
        <v>1</v>
      </c>
      <c r="V27" s="399">
        <f t="shared" si="13"/>
        <v>5309.0999999999995</v>
      </c>
      <c r="W27" s="399"/>
      <c r="X27" s="399">
        <f t="shared" si="1"/>
        <v>0</v>
      </c>
      <c r="Y27" s="399"/>
      <c r="Z27" s="399">
        <f t="shared" si="2"/>
        <v>0</v>
      </c>
      <c r="AA27" s="399"/>
      <c r="AB27" s="399">
        <f t="shared" si="3"/>
        <v>0</v>
      </c>
      <c r="AC27" s="403">
        <v>1</v>
      </c>
      <c r="AD27" s="398">
        <f t="shared" si="11"/>
        <v>7210.6426500000007</v>
      </c>
      <c r="AE27" s="398">
        <f t="shared" si="4"/>
        <v>16059.142650000002</v>
      </c>
      <c r="AF27" s="398">
        <f t="shared" si="12"/>
        <v>88165.569149999996</v>
      </c>
      <c r="AG27" s="213"/>
    </row>
    <row r="28" spans="1:33" ht="24.95" customHeight="1">
      <c r="A28" s="223">
        <v>9</v>
      </c>
      <c r="B28" s="403" t="s">
        <v>198</v>
      </c>
      <c r="C28" s="403" t="s">
        <v>382</v>
      </c>
      <c r="D28" s="403" t="s">
        <v>197</v>
      </c>
      <c r="E28" s="421">
        <v>1</v>
      </c>
      <c r="F28" s="403"/>
      <c r="G28" s="419"/>
      <c r="H28" s="420">
        <v>2.77</v>
      </c>
      <c r="I28" s="403">
        <v>1</v>
      </c>
      <c r="J28" s="397">
        <f t="shared" si="0"/>
        <v>49020.69</v>
      </c>
      <c r="K28" s="398">
        <v>45</v>
      </c>
      <c r="L28" s="398">
        <f t="shared" si="5"/>
        <v>22059.310500000003</v>
      </c>
      <c r="M28" s="399"/>
      <c r="N28" s="398">
        <f t="shared" si="6"/>
        <v>0</v>
      </c>
      <c r="O28" s="398">
        <f t="shared" si="7"/>
        <v>71080.000500000009</v>
      </c>
      <c r="P28" s="398"/>
      <c r="Q28" s="399"/>
      <c r="R28" s="399">
        <f t="shared" si="8"/>
        <v>0</v>
      </c>
      <c r="S28" s="399"/>
      <c r="T28" s="399">
        <f>$H$15*0.2*S28</f>
        <v>0</v>
      </c>
      <c r="U28" s="398"/>
      <c r="V28" s="399">
        <f t="shared" si="13"/>
        <v>0</v>
      </c>
      <c r="W28" s="399"/>
      <c r="X28" s="399">
        <f t="shared" si="1"/>
        <v>0</v>
      </c>
      <c r="Y28" s="399">
        <v>1.5</v>
      </c>
      <c r="Z28" s="399">
        <f t="shared" si="2"/>
        <v>1750.7389285714285</v>
      </c>
      <c r="AA28" s="399">
        <v>15</v>
      </c>
      <c r="AB28" s="399">
        <f>SUM(($H$15*H28*I28*0.5/168*8)*AA28)*1.45</f>
        <v>25385.714464285713</v>
      </c>
      <c r="AC28" s="399">
        <v>1</v>
      </c>
      <c r="AD28" s="398">
        <f t="shared" si="11"/>
        <v>7108.0000500000015</v>
      </c>
      <c r="AE28" s="398">
        <f t="shared" si="4"/>
        <v>34244.453442857142</v>
      </c>
      <c r="AF28" s="398">
        <f t="shared" si="12"/>
        <v>105324.45394285716</v>
      </c>
      <c r="AG28" s="213"/>
    </row>
    <row r="29" spans="1:33" ht="24.95" customHeight="1">
      <c r="A29" s="223">
        <v>10</v>
      </c>
      <c r="B29" s="403" t="s">
        <v>199</v>
      </c>
      <c r="C29" s="403" t="s">
        <v>382</v>
      </c>
      <c r="D29" s="403" t="s">
        <v>197</v>
      </c>
      <c r="E29" s="421">
        <v>1</v>
      </c>
      <c r="F29" s="403"/>
      <c r="G29" s="419"/>
      <c r="H29" s="420">
        <v>2.77</v>
      </c>
      <c r="I29" s="403">
        <v>1</v>
      </c>
      <c r="J29" s="397">
        <f t="shared" si="0"/>
        <v>49020.69</v>
      </c>
      <c r="K29" s="398">
        <v>45</v>
      </c>
      <c r="L29" s="398">
        <f t="shared" si="5"/>
        <v>22059.310500000003</v>
      </c>
      <c r="M29" s="399"/>
      <c r="N29" s="398">
        <f t="shared" si="6"/>
        <v>0</v>
      </c>
      <c r="O29" s="398">
        <f t="shared" si="7"/>
        <v>71080.000500000009</v>
      </c>
      <c r="P29" s="398"/>
      <c r="Q29" s="399"/>
      <c r="R29" s="399">
        <f t="shared" si="8"/>
        <v>0</v>
      </c>
      <c r="S29" s="399"/>
      <c r="T29" s="399">
        <f>$H$15*0.2*S29</f>
        <v>0</v>
      </c>
      <c r="U29" s="398"/>
      <c r="V29" s="399">
        <f t="shared" si="13"/>
        <v>0</v>
      </c>
      <c r="W29" s="399"/>
      <c r="X29" s="399">
        <f t="shared" si="1"/>
        <v>0</v>
      </c>
      <c r="Y29" s="399">
        <v>1.5</v>
      </c>
      <c r="Z29" s="399">
        <f t="shared" si="2"/>
        <v>1750.7389285714285</v>
      </c>
      <c r="AA29" s="399">
        <v>15</v>
      </c>
      <c r="AB29" s="399">
        <f t="shared" ref="AB29:AB36" si="15">SUM(($H$15*H29*I29*0.5/168*8)*AA29)*1.45</f>
        <v>25385.714464285713</v>
      </c>
      <c r="AC29" s="399">
        <v>1</v>
      </c>
      <c r="AD29" s="398">
        <f t="shared" si="11"/>
        <v>7108.0000500000015</v>
      </c>
      <c r="AE29" s="398">
        <f t="shared" si="4"/>
        <v>34244.453442857142</v>
      </c>
      <c r="AF29" s="398">
        <f t="shared" si="12"/>
        <v>105324.45394285716</v>
      </c>
      <c r="AG29" s="213"/>
    </row>
    <row r="30" spans="1:33" ht="24.95" customHeight="1">
      <c r="A30" s="223">
        <v>11</v>
      </c>
      <c r="B30" s="419" t="s">
        <v>200</v>
      </c>
      <c r="C30" s="403" t="s">
        <v>201</v>
      </c>
      <c r="D30" s="403" t="s">
        <v>197</v>
      </c>
      <c r="E30" s="395">
        <v>2</v>
      </c>
      <c r="F30" s="403"/>
      <c r="G30" s="419"/>
      <c r="H30" s="405">
        <v>2.81</v>
      </c>
      <c r="I30" s="403">
        <v>1</v>
      </c>
      <c r="J30" s="397">
        <f t="shared" si="0"/>
        <v>49728.57</v>
      </c>
      <c r="K30" s="398">
        <v>45</v>
      </c>
      <c r="L30" s="398">
        <f t="shared" si="5"/>
        <v>22377.856499999998</v>
      </c>
      <c r="M30" s="399"/>
      <c r="N30" s="398">
        <f t="shared" si="6"/>
        <v>0</v>
      </c>
      <c r="O30" s="398">
        <f t="shared" si="7"/>
        <v>72106.426500000001</v>
      </c>
      <c r="P30" s="398"/>
      <c r="Q30" s="399"/>
      <c r="R30" s="399">
        <f t="shared" si="8"/>
        <v>0</v>
      </c>
      <c r="S30" s="399">
        <v>1</v>
      </c>
      <c r="T30" s="399">
        <f t="shared" si="14"/>
        <v>3539.4</v>
      </c>
      <c r="U30" s="398">
        <v>1</v>
      </c>
      <c r="V30" s="399">
        <f t="shared" si="13"/>
        <v>5309.0999999999995</v>
      </c>
      <c r="W30" s="399"/>
      <c r="X30" s="399">
        <f t="shared" si="1"/>
        <v>0</v>
      </c>
      <c r="Y30" s="399"/>
      <c r="Z30" s="399">
        <f t="shared" si="2"/>
        <v>0</v>
      </c>
      <c r="AA30" s="399"/>
      <c r="AB30" s="399">
        <f t="shared" si="15"/>
        <v>0</v>
      </c>
      <c r="AC30" s="403">
        <v>1</v>
      </c>
      <c r="AD30" s="398">
        <f t="shared" si="11"/>
        <v>7210.6426500000007</v>
      </c>
      <c r="AE30" s="398">
        <f t="shared" si="4"/>
        <v>16059.142650000002</v>
      </c>
      <c r="AF30" s="398">
        <f t="shared" si="12"/>
        <v>88165.569149999996</v>
      </c>
      <c r="AG30" s="213"/>
    </row>
    <row r="31" spans="1:33" ht="24.95" customHeight="1">
      <c r="A31" s="223">
        <v>12</v>
      </c>
      <c r="B31" s="419" t="s">
        <v>379</v>
      </c>
      <c r="C31" s="429" t="s">
        <v>380</v>
      </c>
      <c r="D31" s="429" t="s">
        <v>197</v>
      </c>
      <c r="E31" s="421">
        <v>3</v>
      </c>
      <c r="F31" s="429"/>
      <c r="G31" s="430"/>
      <c r="H31" s="420">
        <v>2.84</v>
      </c>
      <c r="I31" s="403">
        <v>1</v>
      </c>
      <c r="J31" s="397">
        <f t="shared" si="0"/>
        <v>50259.479999999996</v>
      </c>
      <c r="K31" s="398">
        <v>45</v>
      </c>
      <c r="L31" s="398">
        <f t="shared" si="5"/>
        <v>22616.765999999996</v>
      </c>
      <c r="M31" s="399"/>
      <c r="N31" s="398">
        <f t="shared" si="6"/>
        <v>0</v>
      </c>
      <c r="O31" s="398">
        <f t="shared" si="7"/>
        <v>72876.245999999985</v>
      </c>
      <c r="P31" s="398"/>
      <c r="Q31" s="399"/>
      <c r="R31" s="399"/>
      <c r="S31" s="399"/>
      <c r="T31" s="399"/>
      <c r="U31" s="398"/>
      <c r="V31" s="399"/>
      <c r="W31" s="399"/>
      <c r="X31" s="399"/>
      <c r="Y31" s="399"/>
      <c r="Z31" s="399">
        <f t="shared" si="2"/>
        <v>0</v>
      </c>
      <c r="AA31" s="399"/>
      <c r="AB31" s="399"/>
      <c r="AC31" s="403">
        <v>1</v>
      </c>
      <c r="AD31" s="398">
        <f t="shared" si="11"/>
        <v>7287.6245999999992</v>
      </c>
      <c r="AE31" s="398">
        <f t="shared" si="4"/>
        <v>7287.6245999999992</v>
      </c>
      <c r="AF31" s="398">
        <f t="shared" si="12"/>
        <v>80163.87059999998</v>
      </c>
      <c r="AG31" s="213"/>
    </row>
    <row r="32" spans="1:33" ht="24.95" customHeight="1">
      <c r="A32" s="223">
        <v>13</v>
      </c>
      <c r="B32" s="419" t="s">
        <v>379</v>
      </c>
      <c r="C32" s="429" t="s">
        <v>381</v>
      </c>
      <c r="D32" s="429" t="s">
        <v>197</v>
      </c>
      <c r="E32" s="421">
        <v>3</v>
      </c>
      <c r="F32" s="429"/>
      <c r="G32" s="430"/>
      <c r="H32" s="420">
        <v>2.84</v>
      </c>
      <c r="I32" s="403">
        <v>0.5</v>
      </c>
      <c r="J32" s="397">
        <f t="shared" si="0"/>
        <v>25129.739999999998</v>
      </c>
      <c r="K32" s="398">
        <v>45</v>
      </c>
      <c r="L32" s="398">
        <f t="shared" si="5"/>
        <v>11308.382999999998</v>
      </c>
      <c r="M32" s="399"/>
      <c r="N32" s="398">
        <f t="shared" si="6"/>
        <v>0</v>
      </c>
      <c r="O32" s="398">
        <f t="shared" si="7"/>
        <v>36438.122999999992</v>
      </c>
      <c r="P32" s="398"/>
      <c r="Q32" s="399"/>
      <c r="R32" s="399"/>
      <c r="S32" s="399"/>
      <c r="T32" s="399"/>
      <c r="U32" s="398"/>
      <c r="V32" s="399"/>
      <c r="W32" s="399"/>
      <c r="X32" s="399"/>
      <c r="Y32" s="399"/>
      <c r="Z32" s="399">
        <f t="shared" si="2"/>
        <v>0</v>
      </c>
      <c r="AA32" s="399"/>
      <c r="AB32" s="399"/>
      <c r="AC32" s="403">
        <v>0.5</v>
      </c>
      <c r="AD32" s="398">
        <f t="shared" si="11"/>
        <v>3643.8122999999996</v>
      </c>
      <c r="AE32" s="398">
        <f t="shared" si="4"/>
        <v>3643.8122999999996</v>
      </c>
      <c r="AF32" s="398">
        <f t="shared" si="12"/>
        <v>40081.93529999999</v>
      </c>
      <c r="AG32" s="213"/>
    </row>
    <row r="33" spans="1:33" ht="24.95" customHeight="1">
      <c r="A33" s="223">
        <v>14</v>
      </c>
      <c r="B33" s="419" t="s">
        <v>196</v>
      </c>
      <c r="C33" s="429" t="s">
        <v>381</v>
      </c>
      <c r="D33" s="429" t="s">
        <v>197</v>
      </c>
      <c r="E33" s="421">
        <v>3</v>
      </c>
      <c r="F33" s="429"/>
      <c r="G33" s="430"/>
      <c r="H33" s="420">
        <v>2.84</v>
      </c>
      <c r="I33" s="403">
        <v>0.5</v>
      </c>
      <c r="J33" s="397">
        <f t="shared" si="0"/>
        <v>25129.739999999998</v>
      </c>
      <c r="K33" s="398">
        <v>45</v>
      </c>
      <c r="L33" s="398">
        <f t="shared" si="5"/>
        <v>11308.382999999998</v>
      </c>
      <c r="M33" s="399"/>
      <c r="N33" s="398">
        <f t="shared" si="6"/>
        <v>0</v>
      </c>
      <c r="O33" s="398">
        <f t="shared" si="7"/>
        <v>36438.122999999992</v>
      </c>
      <c r="P33" s="398"/>
      <c r="Q33" s="399"/>
      <c r="R33" s="399"/>
      <c r="S33" s="399"/>
      <c r="T33" s="399"/>
      <c r="U33" s="398"/>
      <c r="V33" s="399"/>
      <c r="W33" s="399"/>
      <c r="X33" s="399"/>
      <c r="Y33" s="399"/>
      <c r="Z33" s="399">
        <f t="shared" si="2"/>
        <v>0</v>
      </c>
      <c r="AA33" s="399"/>
      <c r="AB33" s="399"/>
      <c r="AC33" s="403">
        <v>0.5</v>
      </c>
      <c r="AD33" s="398">
        <f t="shared" si="11"/>
        <v>3643.8122999999996</v>
      </c>
      <c r="AE33" s="398">
        <f t="shared" si="4"/>
        <v>3643.8122999999996</v>
      </c>
      <c r="AF33" s="398">
        <f t="shared" si="12"/>
        <v>40081.93529999999</v>
      </c>
      <c r="AG33" s="213"/>
    </row>
    <row r="34" spans="1:33" s="226" customFormat="1" ht="39" customHeight="1">
      <c r="A34" s="223">
        <v>15</v>
      </c>
      <c r="B34" s="403" t="s">
        <v>219</v>
      </c>
      <c r="C34" s="403" t="s">
        <v>219</v>
      </c>
      <c r="D34" s="224"/>
      <c r="E34" s="395">
        <v>3</v>
      </c>
      <c r="F34" s="404"/>
      <c r="G34" s="399"/>
      <c r="H34" s="405">
        <v>2.84</v>
      </c>
      <c r="I34" s="399">
        <v>1</v>
      </c>
      <c r="J34" s="397">
        <f>$H$15*H34*I34</f>
        <v>50259.479999999996</v>
      </c>
      <c r="K34" s="398">
        <v>45</v>
      </c>
      <c r="L34" s="398">
        <f t="shared" si="5"/>
        <v>22616.765999999996</v>
      </c>
      <c r="M34" s="399"/>
      <c r="N34" s="398">
        <f t="shared" si="6"/>
        <v>0</v>
      </c>
      <c r="O34" s="398">
        <f t="shared" si="7"/>
        <v>72876.245999999985</v>
      </c>
      <c r="P34" s="398"/>
      <c r="Q34" s="399"/>
      <c r="R34" s="399">
        <f t="shared" si="8"/>
        <v>0</v>
      </c>
      <c r="S34" s="404"/>
      <c r="T34" s="404"/>
      <c r="U34" s="398">
        <v>1</v>
      </c>
      <c r="V34" s="399">
        <f t="shared" si="13"/>
        <v>5309.0999999999995</v>
      </c>
      <c r="W34" s="404"/>
      <c r="X34" s="399"/>
      <c r="Y34" s="399">
        <v>1</v>
      </c>
      <c r="Z34" s="399">
        <f t="shared" si="2"/>
        <v>1196.6542857142856</v>
      </c>
      <c r="AA34" s="399">
        <v>10</v>
      </c>
      <c r="AB34" s="399">
        <f t="shared" si="15"/>
        <v>17351.487142857142</v>
      </c>
      <c r="AC34" s="399">
        <v>1</v>
      </c>
      <c r="AD34" s="398">
        <f t="shared" si="11"/>
        <v>7287.6245999999992</v>
      </c>
      <c r="AE34" s="398">
        <f t="shared" si="4"/>
        <v>31144.866028571429</v>
      </c>
      <c r="AF34" s="398">
        <f t="shared" si="12"/>
        <v>104021.11202857141</v>
      </c>
      <c r="AG34" s="225"/>
    </row>
    <row r="35" spans="1:33" ht="24.95" customHeight="1">
      <c r="A35" s="223">
        <v>16</v>
      </c>
      <c r="B35" s="403" t="s">
        <v>219</v>
      </c>
      <c r="C35" s="403" t="s">
        <v>219</v>
      </c>
      <c r="D35" s="224"/>
      <c r="E35" s="395">
        <v>3</v>
      </c>
      <c r="F35" s="399"/>
      <c r="G35" s="399"/>
      <c r="H35" s="405">
        <v>2.84</v>
      </c>
      <c r="I35" s="399">
        <v>1</v>
      </c>
      <c r="J35" s="397">
        <f>$H$15*H35*I35</f>
        <v>50259.479999999996</v>
      </c>
      <c r="K35" s="398">
        <v>45</v>
      </c>
      <c r="L35" s="398">
        <f t="shared" si="5"/>
        <v>22616.765999999996</v>
      </c>
      <c r="M35" s="399"/>
      <c r="N35" s="398">
        <f t="shared" si="6"/>
        <v>0</v>
      </c>
      <c r="O35" s="398">
        <f t="shared" si="7"/>
        <v>72876.245999999985</v>
      </c>
      <c r="P35" s="398"/>
      <c r="Q35" s="399">
        <v>0</v>
      </c>
      <c r="R35" s="399">
        <f t="shared" si="8"/>
        <v>0</v>
      </c>
      <c r="S35" s="399"/>
      <c r="T35" s="399">
        <f t="shared" ref="T35" si="16">$H$15*0.2*S35</f>
        <v>0</v>
      </c>
      <c r="U35" s="398">
        <v>1</v>
      </c>
      <c r="V35" s="399">
        <f t="shared" si="13"/>
        <v>5309.0999999999995</v>
      </c>
      <c r="W35" s="399"/>
      <c r="X35" s="399">
        <f t="shared" si="1"/>
        <v>0</v>
      </c>
      <c r="Y35" s="399">
        <v>1</v>
      </c>
      <c r="Z35" s="399">
        <f t="shared" si="2"/>
        <v>1196.6542857142856</v>
      </c>
      <c r="AA35" s="399">
        <v>10</v>
      </c>
      <c r="AB35" s="399">
        <f t="shared" si="15"/>
        <v>17351.487142857142</v>
      </c>
      <c r="AC35" s="399">
        <v>1</v>
      </c>
      <c r="AD35" s="398">
        <f t="shared" si="11"/>
        <v>7287.6245999999992</v>
      </c>
      <c r="AE35" s="398">
        <f t="shared" si="4"/>
        <v>31144.866028571429</v>
      </c>
      <c r="AF35" s="398">
        <f t="shared" si="12"/>
        <v>104021.11202857141</v>
      </c>
      <c r="AG35" s="213"/>
    </row>
    <row r="36" spans="1:33" ht="24.95" customHeight="1">
      <c r="A36" s="223">
        <v>17</v>
      </c>
      <c r="B36" s="403" t="s">
        <v>219</v>
      </c>
      <c r="C36" s="403" t="s">
        <v>219</v>
      </c>
      <c r="D36" s="224"/>
      <c r="E36" s="395">
        <v>3</v>
      </c>
      <c r="F36" s="399"/>
      <c r="G36" s="399"/>
      <c r="H36" s="405">
        <v>2.84</v>
      </c>
      <c r="I36" s="399">
        <v>1</v>
      </c>
      <c r="J36" s="397">
        <f>$H$15*H36*I36</f>
        <v>50259.479999999996</v>
      </c>
      <c r="K36" s="398">
        <v>45</v>
      </c>
      <c r="L36" s="398">
        <f t="shared" si="5"/>
        <v>22616.765999999996</v>
      </c>
      <c r="M36" s="399"/>
      <c r="N36" s="398">
        <f t="shared" si="6"/>
        <v>0</v>
      </c>
      <c r="O36" s="398">
        <f t="shared" si="7"/>
        <v>72876.245999999985</v>
      </c>
      <c r="P36" s="398"/>
      <c r="Q36" s="399"/>
      <c r="R36" s="399">
        <f t="shared" si="8"/>
        <v>0</v>
      </c>
      <c r="S36" s="399"/>
      <c r="T36" s="399"/>
      <c r="U36" s="398">
        <v>1</v>
      </c>
      <c r="V36" s="399">
        <f t="shared" si="13"/>
        <v>5309.0999999999995</v>
      </c>
      <c r="W36" s="399"/>
      <c r="X36" s="399"/>
      <c r="Y36" s="399">
        <v>1</v>
      </c>
      <c r="Z36" s="399">
        <f t="shared" si="2"/>
        <v>1196.6542857142856</v>
      </c>
      <c r="AA36" s="399">
        <v>10</v>
      </c>
      <c r="AB36" s="399">
        <f t="shared" si="15"/>
        <v>17351.487142857142</v>
      </c>
      <c r="AC36" s="399">
        <v>1</v>
      </c>
      <c r="AD36" s="398">
        <f t="shared" si="11"/>
        <v>7287.6245999999992</v>
      </c>
      <c r="AE36" s="398">
        <f t="shared" si="4"/>
        <v>31144.866028571429</v>
      </c>
      <c r="AF36" s="398">
        <f t="shared" si="12"/>
        <v>104021.11202857141</v>
      </c>
      <c r="AG36" s="213"/>
    </row>
    <row r="37" spans="1:33" ht="24.95" customHeight="1">
      <c r="A37" s="227"/>
      <c r="B37" s="410" t="s">
        <v>213</v>
      </c>
      <c r="C37" s="411"/>
      <c r="D37" s="411"/>
      <c r="E37" s="411"/>
      <c r="F37" s="411"/>
      <c r="G37" s="411"/>
      <c r="H37" s="411"/>
      <c r="I37" s="412">
        <f>SUM(I20:I36)</f>
        <v>15</v>
      </c>
      <c r="J37" s="412">
        <f>SUM(J20:J36)</f>
        <v>901662.14999999979</v>
      </c>
      <c r="K37" s="412"/>
      <c r="L37" s="412">
        <f t="shared" ref="L37:AF37" si="17">SUM(L20:L36)</f>
        <v>577298.26124999986</v>
      </c>
      <c r="M37" s="412">
        <f t="shared" si="17"/>
        <v>125</v>
      </c>
      <c r="N37" s="412">
        <f t="shared" si="17"/>
        <v>166700.2096875</v>
      </c>
      <c r="O37" s="412">
        <f t="shared" si="17"/>
        <v>1645660.6209375001</v>
      </c>
      <c r="P37" s="412">
        <f t="shared" si="17"/>
        <v>0</v>
      </c>
      <c r="Q37" s="412">
        <f t="shared" si="17"/>
        <v>0.5</v>
      </c>
      <c r="R37" s="412">
        <f t="shared" si="17"/>
        <v>2654.5499999999997</v>
      </c>
      <c r="S37" s="412">
        <f t="shared" si="17"/>
        <v>2</v>
      </c>
      <c r="T37" s="412">
        <f t="shared" si="17"/>
        <v>7078.8</v>
      </c>
      <c r="U37" s="412">
        <f t="shared" si="17"/>
        <v>5</v>
      </c>
      <c r="V37" s="412">
        <f t="shared" si="17"/>
        <v>26545.499999999996</v>
      </c>
      <c r="W37" s="412">
        <f t="shared" si="17"/>
        <v>0</v>
      </c>
      <c r="X37" s="412">
        <f t="shared" si="17"/>
        <v>0</v>
      </c>
      <c r="Y37" s="412">
        <f t="shared" si="17"/>
        <v>6</v>
      </c>
      <c r="Z37" s="412">
        <f t="shared" si="17"/>
        <v>7091.4407142857144</v>
      </c>
      <c r="AA37" s="412">
        <f t="shared" si="17"/>
        <v>60</v>
      </c>
      <c r="AB37" s="412">
        <f t="shared" si="17"/>
        <v>102825.89035714284</v>
      </c>
      <c r="AC37" s="412">
        <f t="shared" si="17"/>
        <v>15</v>
      </c>
      <c r="AD37" s="412">
        <f t="shared" si="17"/>
        <v>164566.06209375002</v>
      </c>
      <c r="AE37" s="412">
        <f t="shared" si="17"/>
        <v>310762.24316517857</v>
      </c>
      <c r="AF37" s="412">
        <f t="shared" si="17"/>
        <v>1956422.8641026784</v>
      </c>
      <c r="AG37" s="213"/>
    </row>
    <row r="38" spans="1:33">
      <c r="A38" s="207"/>
      <c r="B38" s="207"/>
      <c r="C38" s="207"/>
      <c r="D38" s="207"/>
      <c r="E38" s="207"/>
      <c r="F38" s="207"/>
      <c r="G38" s="207"/>
      <c r="H38" s="228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</row>
    <row r="39" spans="1:33">
      <c r="A39" s="229"/>
      <c r="B39" s="230"/>
      <c r="C39" s="231" t="s">
        <v>214</v>
      </c>
      <c r="D39" s="231"/>
      <c r="E39" s="231"/>
      <c r="F39" s="581" t="s">
        <v>215</v>
      </c>
      <c r="G39" s="581"/>
      <c r="H39" s="232"/>
      <c r="I39" s="231"/>
      <c r="J39" s="231"/>
      <c r="K39" s="231"/>
      <c r="L39" s="231"/>
      <c r="M39" s="231"/>
      <c r="N39" s="231"/>
      <c r="O39" s="231"/>
      <c r="P39" s="231"/>
      <c r="Q39" s="231"/>
      <c r="R39" s="230"/>
      <c r="S39" s="231" t="s">
        <v>216</v>
      </c>
      <c r="T39" s="231"/>
      <c r="U39" s="230"/>
      <c r="V39" s="233"/>
      <c r="W39" s="233" t="s">
        <v>217</v>
      </c>
      <c r="X39" s="233"/>
      <c r="Y39" s="233"/>
      <c r="Z39" s="234"/>
      <c r="AA39" s="230"/>
      <c r="AB39" s="230"/>
      <c r="AC39" s="235"/>
      <c r="AD39" s="230"/>
      <c r="AE39" s="234"/>
      <c r="AF39" s="230"/>
    </row>
    <row r="40" spans="1:33">
      <c r="A40" s="229"/>
      <c r="B40" s="230"/>
      <c r="C40" s="231"/>
      <c r="D40" s="231"/>
      <c r="E40" s="231"/>
      <c r="F40" s="231"/>
      <c r="G40" s="233"/>
      <c r="H40" s="232"/>
      <c r="I40" s="231"/>
      <c r="J40" s="231"/>
      <c r="K40" s="231"/>
      <c r="L40" s="231"/>
      <c r="M40" s="231"/>
      <c r="N40" s="231"/>
      <c r="O40" s="231"/>
      <c r="P40" s="231"/>
      <c r="Q40" s="231"/>
      <c r="R40" s="230"/>
      <c r="S40" s="231"/>
      <c r="T40" s="231"/>
      <c r="U40" s="230"/>
      <c r="V40" s="233"/>
      <c r="W40" s="233"/>
      <c r="X40" s="233"/>
      <c r="Y40" s="233"/>
      <c r="Z40" s="233"/>
      <c r="AA40" s="230"/>
      <c r="AB40" s="230"/>
      <c r="AC40" s="230"/>
      <c r="AD40" s="230"/>
      <c r="AE40" s="230"/>
      <c r="AF40" s="236"/>
    </row>
    <row r="41" spans="1:33">
      <c r="A41" s="229"/>
      <c r="B41" s="230"/>
      <c r="C41" s="233"/>
      <c r="D41" s="233"/>
      <c r="E41" s="233"/>
      <c r="F41" s="581"/>
      <c r="G41" s="581"/>
      <c r="H41" s="232"/>
      <c r="I41" s="231"/>
      <c r="J41" s="231"/>
      <c r="K41" s="231"/>
      <c r="L41" s="231"/>
      <c r="M41" s="231"/>
      <c r="N41" s="231"/>
      <c r="O41" s="231"/>
      <c r="P41" s="231"/>
      <c r="Q41" s="231"/>
      <c r="R41" s="230"/>
      <c r="S41" s="231"/>
      <c r="T41" s="231"/>
      <c r="U41" s="230"/>
      <c r="V41" s="233"/>
      <c r="W41" s="233"/>
      <c r="X41" s="233"/>
      <c r="Y41" s="233"/>
      <c r="Z41" s="233"/>
      <c r="AA41" s="230"/>
      <c r="AB41" s="230"/>
      <c r="AC41" s="230"/>
      <c r="AD41" s="230"/>
      <c r="AE41" s="230"/>
      <c r="AF41" s="230"/>
    </row>
    <row r="42" spans="1:33">
      <c r="A42" s="229"/>
      <c r="B42" s="230"/>
      <c r="C42" s="233"/>
      <c r="D42" s="233"/>
      <c r="E42" s="233"/>
      <c r="F42" s="233"/>
      <c r="G42" s="233"/>
      <c r="H42" s="237"/>
      <c r="I42" s="231"/>
      <c r="J42" s="231"/>
      <c r="K42" s="231"/>
      <c r="L42" s="231"/>
      <c r="M42" s="231"/>
      <c r="N42" s="231"/>
      <c r="O42" s="231"/>
      <c r="P42" s="231"/>
      <c r="Q42" s="231"/>
      <c r="R42" s="230"/>
      <c r="S42" s="231"/>
      <c r="T42" s="231"/>
      <c r="U42" s="230"/>
      <c r="V42" s="233"/>
      <c r="W42" s="233"/>
      <c r="X42" s="233"/>
      <c r="Y42" s="233"/>
      <c r="Z42" s="233"/>
      <c r="AA42" s="230"/>
      <c r="AB42" s="230"/>
      <c r="AC42" s="230"/>
      <c r="AD42" s="230"/>
      <c r="AE42" s="230"/>
      <c r="AF42" s="230"/>
    </row>
    <row r="43" spans="1:33">
      <c r="A43" s="229"/>
      <c r="B43" s="230"/>
      <c r="C43" s="233"/>
      <c r="D43" s="233"/>
      <c r="E43" s="233"/>
      <c r="F43" s="581"/>
      <c r="G43" s="581"/>
      <c r="H43" s="232"/>
      <c r="I43" s="231"/>
      <c r="J43" s="231"/>
      <c r="K43" s="231"/>
      <c r="L43" s="231"/>
      <c r="M43" s="231"/>
      <c r="N43" s="231"/>
      <c r="O43" s="231"/>
      <c r="P43" s="231"/>
      <c r="Q43" s="231"/>
      <c r="R43" s="230"/>
      <c r="S43" s="582"/>
      <c r="T43" s="582"/>
      <c r="U43" s="230"/>
      <c r="V43" s="233"/>
      <c r="W43" s="233"/>
      <c r="X43" s="233"/>
      <c r="Y43" s="233"/>
      <c r="Z43" s="233"/>
      <c r="AA43" s="230"/>
      <c r="AB43" s="230"/>
      <c r="AC43" s="230"/>
      <c r="AD43" s="230"/>
      <c r="AE43" s="230"/>
      <c r="AF43" s="230"/>
    </row>
    <row r="44" spans="1:33">
      <c r="A44" s="238"/>
      <c r="B44" s="239"/>
      <c r="C44" s="239"/>
      <c r="D44" s="239"/>
      <c r="E44" s="239"/>
      <c r="F44" s="239"/>
      <c r="G44" s="239"/>
      <c r="H44" s="240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</row>
    <row r="45" spans="1:33">
      <c r="A45" s="238"/>
      <c r="B45" s="239"/>
      <c r="C45" s="239"/>
      <c r="D45" s="239"/>
      <c r="E45" s="239"/>
      <c r="F45" s="239"/>
      <c r="G45" s="239"/>
      <c r="H45" s="240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</row>
    <row r="46" spans="1:33">
      <c r="A46" s="238"/>
      <c r="B46" s="239"/>
      <c r="C46" s="239"/>
      <c r="D46" s="239"/>
      <c r="E46" s="239"/>
      <c r="F46" s="239"/>
      <c r="G46" s="239"/>
      <c r="H46" s="240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</row>
    <row r="47" spans="1:33">
      <c r="A47" s="238"/>
      <c r="B47" s="239"/>
      <c r="C47" s="239"/>
      <c r="D47" s="239"/>
      <c r="E47" s="239"/>
      <c r="F47" s="239"/>
      <c r="G47" s="239"/>
      <c r="H47" s="240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</row>
    <row r="48" spans="1:33">
      <c r="A48" s="238"/>
      <c r="B48" s="239"/>
      <c r="C48" s="239"/>
      <c r="D48" s="239"/>
      <c r="E48" s="239"/>
      <c r="F48" s="239"/>
      <c r="G48" s="239"/>
      <c r="H48" s="240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</row>
    <row r="49" spans="1:32">
      <c r="A49" s="238"/>
      <c r="B49" s="239"/>
      <c r="C49" s="239"/>
      <c r="D49" s="239"/>
      <c r="E49" s="239"/>
      <c r="F49" s="239"/>
      <c r="G49" s="239"/>
      <c r="H49" s="240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</row>
  </sheetData>
  <mergeCells count="35">
    <mergeCell ref="F43:G43"/>
    <mergeCell ref="S43:T43"/>
    <mergeCell ref="K17:L18"/>
    <mergeCell ref="W17:X17"/>
    <mergeCell ref="F39:G39"/>
    <mergeCell ref="M16:N17"/>
    <mergeCell ref="O16:O18"/>
    <mergeCell ref="Q16:AE16"/>
    <mergeCell ref="F41:G41"/>
    <mergeCell ref="AF16:AF18"/>
    <mergeCell ref="E17:E18"/>
    <mergeCell ref="F17:F18"/>
    <mergeCell ref="Q17:R17"/>
    <mergeCell ref="S17:T17"/>
    <mergeCell ref="U17:V17"/>
    <mergeCell ref="Y17:Z17"/>
    <mergeCell ref="AA17:AB17"/>
    <mergeCell ref="AC17:AD17"/>
    <mergeCell ref="AE17:AE18"/>
    <mergeCell ref="J15:N15"/>
    <mergeCell ref="A16:A18"/>
    <mergeCell ref="B16:B18"/>
    <mergeCell ref="C16:C18"/>
    <mergeCell ref="D16:D18"/>
    <mergeCell ref="E16:F16"/>
    <mergeCell ref="G16:G18"/>
    <mergeCell ref="H16:H18"/>
    <mergeCell ref="I16:I18"/>
    <mergeCell ref="J16:J18"/>
    <mergeCell ref="S12:U12"/>
    <mergeCell ref="B3:C3"/>
    <mergeCell ref="E3:M3"/>
    <mergeCell ref="Q3:R3"/>
    <mergeCell ref="O4:U4"/>
    <mergeCell ref="U5:AA5"/>
  </mergeCells>
  <pageMargins left="0.25" right="0.25" top="0.75" bottom="0.75" header="0.3" footer="0.3"/>
  <pageSetup paperSize="9" scale="53" orientation="landscape" r:id="rId1"/>
  <colBreaks count="1" manualBreakCount="1">
    <brk id="14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view="pageBreakPreview" topLeftCell="A7" zoomScale="60" zoomScaleNormal="80" workbookViewId="0">
      <selection activeCell="AG30" sqref="AG30"/>
    </sheetView>
  </sheetViews>
  <sheetFormatPr defaultColWidth="9.140625" defaultRowHeight="15.75"/>
  <cols>
    <col min="1" max="1" width="9.140625" style="196"/>
    <col min="2" max="2" width="44.28515625" style="196" customWidth="1"/>
    <col min="3" max="3" width="20.7109375" style="196" customWidth="1"/>
    <col min="4" max="4" width="12" style="196" customWidth="1"/>
    <col min="5" max="5" width="13.140625" style="196" customWidth="1"/>
    <col min="6" max="6" width="11.5703125" style="196" customWidth="1"/>
    <col min="7" max="7" width="13.7109375" style="196" customWidth="1"/>
    <col min="8" max="8" width="12.28515625" style="241" customWidth="1"/>
    <col min="9" max="9" width="12.140625" style="196" customWidth="1"/>
    <col min="10" max="12" width="13.7109375" style="196" customWidth="1"/>
    <col min="13" max="13" width="10.5703125" style="196" bestFit="1" customWidth="1"/>
    <col min="14" max="14" width="13.5703125" style="196" customWidth="1"/>
    <col min="15" max="15" width="17.42578125" style="196" customWidth="1"/>
    <col min="16" max="16" width="15.42578125" style="196" customWidth="1"/>
    <col min="17" max="17" width="17.42578125" style="196" customWidth="1"/>
    <col min="18" max="18" width="9.140625" style="196" customWidth="1"/>
    <col min="19" max="19" width="11.5703125" style="196" customWidth="1"/>
    <col min="20" max="20" width="7" style="196" customWidth="1"/>
    <col min="21" max="21" width="11.85546875" style="196" customWidth="1"/>
    <col min="22" max="22" width="7.5703125" style="196" customWidth="1"/>
    <col min="23" max="23" width="11.42578125" style="196" customWidth="1"/>
    <col min="24" max="24" width="7.85546875" style="196" customWidth="1"/>
    <col min="25" max="25" width="12.140625" style="196" customWidth="1"/>
    <col min="26" max="26" width="7.7109375" style="196" customWidth="1"/>
    <col min="27" max="27" width="10" style="196" customWidth="1"/>
    <col min="28" max="28" width="7" style="196" customWidth="1"/>
    <col min="29" max="29" width="11.28515625" style="196" customWidth="1"/>
    <col min="30" max="30" width="12.7109375" style="196" customWidth="1"/>
    <col min="31" max="31" width="15.7109375" style="196" customWidth="1"/>
    <col min="32" max="32" width="16.85546875" style="196" customWidth="1"/>
    <col min="33" max="33" width="20.140625" style="196" customWidth="1"/>
    <col min="34" max="34" width="17" style="196" customWidth="1"/>
    <col min="35" max="16384" width="9.140625" style="196"/>
  </cols>
  <sheetData>
    <row r="1" spans="1:34" ht="18.75">
      <c r="A1" s="190"/>
      <c r="B1" s="191" t="s">
        <v>131</v>
      </c>
      <c r="C1" s="191"/>
      <c r="D1" s="192"/>
      <c r="E1" s="191" t="s">
        <v>131</v>
      </c>
      <c r="F1" s="191"/>
      <c r="G1" s="192"/>
      <c r="H1" s="193"/>
      <c r="I1" s="194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0"/>
      <c r="U1" s="190"/>
      <c r="V1" s="190" t="s">
        <v>132</v>
      </c>
      <c r="W1" s="195"/>
    </row>
    <row r="2" spans="1:34" ht="18.75">
      <c r="A2" s="190"/>
      <c r="B2" s="191"/>
      <c r="C2" s="191"/>
      <c r="D2" s="192"/>
      <c r="E2" s="191"/>
      <c r="F2" s="191"/>
      <c r="G2" s="192"/>
      <c r="H2" s="193"/>
      <c r="I2" s="194"/>
      <c r="J2" s="192"/>
      <c r="K2" s="192"/>
      <c r="L2" s="192"/>
      <c r="M2" s="192"/>
      <c r="N2" s="192"/>
      <c r="O2" s="192"/>
      <c r="P2" s="192"/>
      <c r="Q2" s="192" t="s">
        <v>133</v>
      </c>
      <c r="R2" s="192"/>
      <c r="S2" s="192"/>
      <c r="T2" s="190"/>
      <c r="U2" s="190"/>
      <c r="V2" s="190" t="s">
        <v>134</v>
      </c>
      <c r="W2" s="195"/>
    </row>
    <row r="3" spans="1:34" ht="47.25" customHeight="1">
      <c r="A3" s="190"/>
      <c r="B3" s="560" t="s">
        <v>135</v>
      </c>
      <c r="C3" s="560"/>
      <c r="D3" s="192"/>
      <c r="E3" s="561" t="s">
        <v>136</v>
      </c>
      <c r="F3" s="561"/>
      <c r="G3" s="561"/>
      <c r="H3" s="561"/>
      <c r="I3" s="561"/>
      <c r="J3" s="561"/>
      <c r="K3" s="561"/>
      <c r="L3" s="561"/>
      <c r="M3" s="561"/>
      <c r="N3" s="192"/>
      <c r="O3" s="192"/>
      <c r="P3" s="192"/>
      <c r="Q3" s="197" t="s">
        <v>137</v>
      </c>
      <c r="R3" s="562"/>
      <c r="S3" s="562"/>
      <c r="T3" s="198"/>
      <c r="U3" s="190"/>
      <c r="V3" s="192" t="s">
        <v>138</v>
      </c>
      <c r="W3" s="195"/>
    </row>
    <row r="4" spans="1:34" ht="18.75">
      <c r="A4" s="190"/>
      <c r="B4" s="191"/>
      <c r="C4" s="191"/>
      <c r="D4" s="192"/>
      <c r="E4" s="191"/>
      <c r="F4" s="191"/>
      <c r="G4" s="192"/>
      <c r="H4" s="193"/>
      <c r="I4" s="194"/>
      <c r="J4" s="192"/>
      <c r="K4" s="192"/>
      <c r="L4" s="192"/>
      <c r="M4" s="192"/>
      <c r="N4" s="192"/>
      <c r="O4" s="563"/>
      <c r="P4" s="563"/>
      <c r="Q4" s="563"/>
      <c r="R4" s="563"/>
      <c r="S4" s="563"/>
      <c r="T4" s="563"/>
      <c r="U4" s="563"/>
      <c r="V4" s="563"/>
      <c r="W4" s="195"/>
    </row>
    <row r="5" spans="1:34" ht="18.75">
      <c r="A5" s="190"/>
      <c r="B5" s="199" t="s">
        <v>139</v>
      </c>
      <c r="C5" s="191" t="s">
        <v>140</v>
      </c>
      <c r="D5" s="192"/>
      <c r="E5" s="199"/>
      <c r="F5" s="200"/>
      <c r="G5" s="192" t="s">
        <v>141</v>
      </c>
      <c r="H5" s="191"/>
      <c r="I5" s="192"/>
      <c r="J5" s="192"/>
      <c r="K5" s="192"/>
      <c r="L5" s="192"/>
      <c r="M5" s="192"/>
      <c r="N5" s="192"/>
      <c r="O5" s="192"/>
      <c r="P5" s="192"/>
      <c r="Q5" s="192" t="s">
        <v>142</v>
      </c>
      <c r="R5" s="192"/>
      <c r="S5" s="192"/>
      <c r="T5" s="190"/>
      <c r="U5" s="192"/>
      <c r="V5" s="563" t="s">
        <v>143</v>
      </c>
      <c r="W5" s="563"/>
      <c r="X5" s="563"/>
      <c r="Y5" s="563"/>
      <c r="Z5" s="563"/>
      <c r="AA5" s="563"/>
      <c r="AB5" s="563"/>
    </row>
    <row r="6" spans="1:34" ht="18.75">
      <c r="A6" s="190"/>
      <c r="B6" s="191"/>
      <c r="C6" s="191"/>
      <c r="D6" s="192"/>
      <c r="E6" s="191"/>
      <c r="F6" s="191"/>
      <c r="G6" s="192"/>
      <c r="H6" s="193"/>
      <c r="I6" s="194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0"/>
      <c r="U6" s="190"/>
      <c r="V6" s="190"/>
      <c r="W6" s="195"/>
    </row>
    <row r="7" spans="1:34" ht="18.75">
      <c r="A7" s="190"/>
      <c r="B7" s="201" t="s">
        <v>367</v>
      </c>
      <c r="C7" s="191"/>
      <c r="D7" s="192"/>
      <c r="E7" s="201" t="s">
        <v>367</v>
      </c>
      <c r="F7" s="191"/>
      <c r="G7" s="192"/>
      <c r="H7" s="193"/>
      <c r="I7" s="194"/>
      <c r="J7" s="192"/>
      <c r="K7" s="192"/>
      <c r="L7" s="192"/>
      <c r="M7" s="192"/>
      <c r="N7" s="192"/>
      <c r="O7" s="192"/>
      <c r="P7" s="192"/>
      <c r="Q7" s="192" t="s">
        <v>144</v>
      </c>
      <c r="R7" s="192"/>
      <c r="S7" s="192"/>
      <c r="T7" s="190"/>
      <c r="U7" s="190"/>
      <c r="V7" s="192" t="s">
        <v>145</v>
      </c>
      <c r="W7" s="195"/>
    </row>
    <row r="8" spans="1:34" ht="18.75">
      <c r="A8" s="190"/>
      <c r="B8" s="202"/>
      <c r="C8" s="203"/>
      <c r="D8" s="190"/>
      <c r="E8" s="190"/>
      <c r="F8" s="190"/>
      <c r="G8" s="190"/>
      <c r="H8" s="204"/>
      <c r="I8" s="205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5"/>
    </row>
    <row r="9" spans="1:34" ht="18.75">
      <c r="A9" s="190"/>
      <c r="B9" s="203"/>
      <c r="C9" s="203"/>
      <c r="D9" s="190"/>
      <c r="E9" s="190"/>
      <c r="F9" s="190"/>
      <c r="G9" s="190"/>
      <c r="H9" s="193" t="s">
        <v>146</v>
      </c>
      <c r="I9" s="194"/>
      <c r="J9" s="190"/>
      <c r="K9" s="190"/>
      <c r="L9" s="190"/>
      <c r="M9" s="190"/>
      <c r="N9" s="190"/>
      <c r="O9" s="190"/>
      <c r="P9" s="190"/>
      <c r="Q9" s="190" t="s">
        <v>368</v>
      </c>
      <c r="R9" s="190"/>
      <c r="S9" s="190"/>
      <c r="T9" s="190"/>
      <c r="U9" s="190"/>
      <c r="V9" s="192" t="s">
        <v>369</v>
      </c>
      <c r="W9" s="195"/>
    </row>
    <row r="10" spans="1:34" ht="18.75">
      <c r="A10" s="190"/>
      <c r="B10" s="206" t="s">
        <v>147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195"/>
      <c r="O10" s="195"/>
      <c r="P10" s="195"/>
      <c r="Q10" s="195"/>
      <c r="R10" s="195"/>
      <c r="S10" s="192"/>
      <c r="T10" s="195"/>
      <c r="U10" s="195"/>
      <c r="V10" s="190"/>
      <c r="W10" s="195"/>
    </row>
    <row r="11" spans="1:34" ht="18.75">
      <c r="A11" s="190"/>
      <c r="B11" s="203"/>
      <c r="C11" s="191"/>
      <c r="D11" s="192"/>
      <c r="E11" s="192"/>
      <c r="F11" s="192"/>
      <c r="G11" s="192"/>
      <c r="H11" s="204"/>
      <c r="I11" s="205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5"/>
    </row>
    <row r="12" spans="1:34" ht="19.5" thickBot="1">
      <c r="A12" s="190"/>
      <c r="B12" s="191" t="s">
        <v>148</v>
      </c>
      <c r="C12" s="191"/>
      <c r="D12" s="192" t="s">
        <v>84</v>
      </c>
      <c r="E12" s="192"/>
      <c r="F12" s="192">
        <v>78</v>
      </c>
      <c r="G12" s="192"/>
      <c r="H12" s="204"/>
      <c r="I12" s="205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559"/>
      <c r="U12" s="559"/>
      <c r="V12" s="559"/>
      <c r="W12" s="195"/>
    </row>
    <row r="15" spans="1:34" ht="20.25">
      <c r="A15" s="207"/>
      <c r="B15" s="393" t="s">
        <v>331</v>
      </c>
      <c r="C15" s="207"/>
      <c r="D15" s="207"/>
      <c r="E15" s="207"/>
      <c r="F15" s="207"/>
      <c r="G15" s="208" t="s">
        <v>149</v>
      </c>
      <c r="H15" s="209">
        <v>17697</v>
      </c>
      <c r="I15" s="207"/>
      <c r="J15" s="564"/>
      <c r="K15" s="564"/>
      <c r="L15" s="564"/>
      <c r="M15" s="564"/>
      <c r="N15" s="564"/>
      <c r="O15" s="210"/>
      <c r="P15" s="210"/>
      <c r="Q15" s="210"/>
      <c r="R15" s="211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</row>
    <row r="16" spans="1:34" ht="18" customHeight="1">
      <c r="A16" s="565" t="s">
        <v>150</v>
      </c>
      <c r="B16" s="565" t="s">
        <v>151</v>
      </c>
      <c r="C16" s="565" t="s">
        <v>152</v>
      </c>
      <c r="D16" s="565" t="s">
        <v>153</v>
      </c>
      <c r="E16" s="566" t="s">
        <v>154</v>
      </c>
      <c r="F16" s="566"/>
      <c r="G16" s="567" t="s">
        <v>155</v>
      </c>
      <c r="H16" s="570" t="s">
        <v>156</v>
      </c>
      <c r="I16" s="573" t="s">
        <v>157</v>
      </c>
      <c r="J16" s="565" t="s">
        <v>158</v>
      </c>
      <c r="K16" s="212"/>
      <c r="L16" s="212"/>
      <c r="M16" s="573" t="s">
        <v>159</v>
      </c>
      <c r="N16" s="585"/>
      <c r="O16" s="567" t="s">
        <v>160</v>
      </c>
      <c r="P16" s="212"/>
      <c r="Q16" s="212"/>
      <c r="R16" s="586" t="s">
        <v>161</v>
      </c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588"/>
      <c r="AG16" s="565" t="s">
        <v>162</v>
      </c>
      <c r="AH16" s="213"/>
    </row>
    <row r="17" spans="1:34" s="216" customFormat="1" ht="96.75" customHeight="1">
      <c r="A17" s="565"/>
      <c r="B17" s="565"/>
      <c r="C17" s="565"/>
      <c r="D17" s="565"/>
      <c r="E17" s="565" t="s">
        <v>163</v>
      </c>
      <c r="F17" s="577" t="s">
        <v>164</v>
      </c>
      <c r="G17" s="568"/>
      <c r="H17" s="571"/>
      <c r="I17" s="574"/>
      <c r="J17" s="565"/>
      <c r="K17" s="574" t="s">
        <v>366</v>
      </c>
      <c r="L17" s="583"/>
      <c r="M17" s="575"/>
      <c r="N17" s="584"/>
      <c r="O17" s="568"/>
      <c r="P17" s="574" t="s">
        <v>165</v>
      </c>
      <c r="Q17" s="583"/>
      <c r="R17" s="565" t="s">
        <v>166</v>
      </c>
      <c r="S17" s="565"/>
      <c r="T17" s="578" t="s">
        <v>167</v>
      </c>
      <c r="U17" s="578"/>
      <c r="V17" s="578">
        <v>0.3</v>
      </c>
      <c r="W17" s="578"/>
      <c r="X17" s="578" t="s">
        <v>168</v>
      </c>
      <c r="Y17" s="578"/>
      <c r="Z17" s="578" t="s">
        <v>169</v>
      </c>
      <c r="AA17" s="578"/>
      <c r="AB17" s="565" t="s">
        <v>170</v>
      </c>
      <c r="AC17" s="565"/>
      <c r="AD17" s="579" t="s">
        <v>171</v>
      </c>
      <c r="AE17" s="580"/>
      <c r="AF17" s="567" t="s">
        <v>172</v>
      </c>
      <c r="AG17" s="565"/>
      <c r="AH17" s="215"/>
    </row>
    <row r="18" spans="1:34" s="216" customFormat="1" ht="54" customHeight="1">
      <c r="A18" s="565"/>
      <c r="B18" s="565"/>
      <c r="C18" s="565"/>
      <c r="D18" s="565"/>
      <c r="E18" s="565"/>
      <c r="F18" s="577"/>
      <c r="G18" s="569"/>
      <c r="H18" s="572"/>
      <c r="I18" s="575"/>
      <c r="J18" s="565"/>
      <c r="K18" s="575"/>
      <c r="L18" s="584"/>
      <c r="M18" s="217" t="s">
        <v>173</v>
      </c>
      <c r="N18" s="218" t="s">
        <v>174</v>
      </c>
      <c r="O18" s="569"/>
      <c r="P18" s="219"/>
      <c r="Q18" s="219"/>
      <c r="R18" s="220" t="s">
        <v>175</v>
      </c>
      <c r="S18" s="220" t="s">
        <v>176</v>
      </c>
      <c r="T18" s="220" t="s">
        <v>175</v>
      </c>
      <c r="U18" s="220" t="s">
        <v>176</v>
      </c>
      <c r="V18" s="220" t="s">
        <v>175</v>
      </c>
      <c r="W18" s="220" t="s">
        <v>176</v>
      </c>
      <c r="X18" s="220" t="s">
        <v>40</v>
      </c>
      <c r="Y18" s="220" t="s">
        <v>174</v>
      </c>
      <c r="Z18" s="220" t="s">
        <v>177</v>
      </c>
      <c r="AA18" s="220" t="s">
        <v>176</v>
      </c>
      <c r="AB18" s="220" t="s">
        <v>177</v>
      </c>
      <c r="AC18" s="220" t="s">
        <v>176</v>
      </c>
      <c r="AD18" s="220" t="s">
        <v>178</v>
      </c>
      <c r="AE18" s="221" t="s">
        <v>176</v>
      </c>
      <c r="AF18" s="569"/>
      <c r="AG18" s="565"/>
      <c r="AH18" s="215"/>
    </row>
    <row r="19" spans="1:34" ht="34.9" customHeight="1">
      <c r="A19" s="222">
        <v>1</v>
      </c>
      <c r="B19" s="222">
        <v>2</v>
      </c>
      <c r="C19" s="222">
        <v>3</v>
      </c>
      <c r="D19" s="222">
        <v>4</v>
      </c>
      <c r="E19" s="222">
        <v>5</v>
      </c>
      <c r="F19" s="222">
        <v>6</v>
      </c>
      <c r="G19" s="222">
        <v>7</v>
      </c>
      <c r="H19" s="222">
        <v>8</v>
      </c>
      <c r="I19" s="222">
        <v>9</v>
      </c>
      <c r="J19" s="222">
        <v>10</v>
      </c>
      <c r="K19" s="222"/>
      <c r="L19" s="222"/>
      <c r="M19" s="222">
        <v>11</v>
      </c>
      <c r="N19" s="222">
        <v>12</v>
      </c>
      <c r="O19" s="222">
        <v>13</v>
      </c>
      <c r="P19" s="222"/>
      <c r="Q19" s="222"/>
      <c r="R19" s="222">
        <v>14</v>
      </c>
      <c r="S19" s="222">
        <v>15</v>
      </c>
      <c r="T19" s="222">
        <v>16</v>
      </c>
      <c r="U19" s="222">
        <v>17</v>
      </c>
      <c r="V19" s="222">
        <v>18</v>
      </c>
      <c r="W19" s="222">
        <v>19</v>
      </c>
      <c r="X19" s="222">
        <v>20</v>
      </c>
      <c r="Y19" s="222">
        <v>21</v>
      </c>
      <c r="Z19" s="222">
        <v>22</v>
      </c>
      <c r="AA19" s="222">
        <v>23</v>
      </c>
      <c r="AB19" s="222">
        <v>24</v>
      </c>
      <c r="AC19" s="222">
        <v>25</v>
      </c>
      <c r="AD19" s="222"/>
      <c r="AE19" s="222">
        <v>26</v>
      </c>
      <c r="AF19" s="222">
        <v>27</v>
      </c>
      <c r="AG19" s="222">
        <v>28</v>
      </c>
      <c r="AH19" s="213"/>
    </row>
    <row r="20" spans="1:34" ht="34.9" customHeight="1">
      <c r="A20" s="222">
        <v>1</v>
      </c>
      <c r="B20" s="394" t="s">
        <v>98</v>
      </c>
      <c r="C20" s="224" t="s">
        <v>203</v>
      </c>
      <c r="D20" s="224" t="s">
        <v>11</v>
      </c>
      <c r="E20" s="395" t="s">
        <v>220</v>
      </c>
      <c r="F20" s="396"/>
      <c r="G20" s="396" t="s">
        <v>371</v>
      </c>
      <c r="H20" s="421">
        <v>4.12</v>
      </c>
      <c r="I20" s="396">
        <v>0.5</v>
      </c>
      <c r="J20" s="397">
        <f t="shared" ref="J20:J21" si="0">$H$15*H20*I20</f>
        <v>36455.82</v>
      </c>
      <c r="K20" s="397">
        <v>100</v>
      </c>
      <c r="L20" s="398">
        <f t="shared" ref="L20:L21" si="1">SUM(J20*K20)/100</f>
        <v>36455.82</v>
      </c>
      <c r="M20" s="399">
        <v>25</v>
      </c>
      <c r="N20" s="398">
        <f t="shared" ref="N20:N21" si="2">SUM(J20+L20)*M20/100</f>
        <v>18227.91</v>
      </c>
      <c r="O20" s="398">
        <f t="shared" ref="O20:O21" si="3">SUM(J20+L20+N20)</f>
        <v>91139.55</v>
      </c>
      <c r="P20" s="398"/>
      <c r="Q20" s="396">
        <f>SUM(O20*P20)/100</f>
        <v>0</v>
      </c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>
        <v>0.5</v>
      </c>
      <c r="AE20" s="398">
        <f t="shared" ref="AE20:AE26" si="4">O20*10%</f>
        <v>9113.9549999999999</v>
      </c>
      <c r="AF20" s="398">
        <f t="shared" ref="AF20:AF26" si="5">SUM(Q20,S20,U20,W20,AA20,Y20,AE20,AC20)</f>
        <v>9113.9549999999999</v>
      </c>
      <c r="AG20" s="398">
        <f t="shared" ref="AG20:AG25" si="6">SUM(O20+AF20)</f>
        <v>100253.505</v>
      </c>
      <c r="AH20" s="400"/>
    </row>
    <row r="21" spans="1:34" ht="34.9" customHeight="1">
      <c r="A21" s="222">
        <v>2</v>
      </c>
      <c r="B21" s="401" t="s">
        <v>113</v>
      </c>
      <c r="C21" s="224" t="s">
        <v>203</v>
      </c>
      <c r="D21" s="224" t="s">
        <v>205</v>
      </c>
      <c r="E21" s="395" t="s">
        <v>112</v>
      </c>
      <c r="F21" s="396" t="s">
        <v>326</v>
      </c>
      <c r="G21" s="396" t="s">
        <v>370</v>
      </c>
      <c r="H21" s="416">
        <v>4.3899999999999997</v>
      </c>
      <c r="I21" s="396">
        <v>0.5</v>
      </c>
      <c r="J21" s="397">
        <f t="shared" si="0"/>
        <v>38844.914999999994</v>
      </c>
      <c r="K21" s="397">
        <v>100</v>
      </c>
      <c r="L21" s="398">
        <f t="shared" si="1"/>
        <v>38844.914999999994</v>
      </c>
      <c r="M21" s="399">
        <v>25</v>
      </c>
      <c r="N21" s="398">
        <f t="shared" si="2"/>
        <v>19422.457499999997</v>
      </c>
      <c r="O21" s="398">
        <f t="shared" si="3"/>
        <v>97112.287499999977</v>
      </c>
      <c r="P21" s="398">
        <v>35</v>
      </c>
      <c r="Q21" s="402">
        <f t="shared" ref="Q21:Q26" si="7">SUM(O21*P21)/100</f>
        <v>33989.300624999989</v>
      </c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>
        <v>0.5</v>
      </c>
      <c r="AE21" s="398">
        <f t="shared" si="4"/>
        <v>9711.2287499999984</v>
      </c>
      <c r="AF21" s="398">
        <f t="shared" si="5"/>
        <v>43700.529374999984</v>
      </c>
      <c r="AG21" s="398">
        <f t="shared" si="6"/>
        <v>140812.81687499996</v>
      </c>
      <c r="AH21" s="400"/>
    </row>
    <row r="22" spans="1:34" s="226" customFormat="1" ht="34.9" customHeight="1">
      <c r="A22" s="222">
        <v>3</v>
      </c>
      <c r="B22" s="403" t="s">
        <v>202</v>
      </c>
      <c r="C22" s="224" t="s">
        <v>203</v>
      </c>
      <c r="D22" s="224" t="s">
        <v>205</v>
      </c>
      <c r="E22" s="395" t="s">
        <v>34</v>
      </c>
      <c r="F22" s="404"/>
      <c r="G22" s="399" t="s">
        <v>372</v>
      </c>
      <c r="H22" s="422">
        <v>3.49</v>
      </c>
      <c r="I22" s="406">
        <v>1</v>
      </c>
      <c r="J22" s="397">
        <f>$H$15*H22*I22</f>
        <v>61762.530000000006</v>
      </c>
      <c r="K22" s="397">
        <v>100</v>
      </c>
      <c r="L22" s="398">
        <f>SUM(J22*K22)/100</f>
        <v>61762.530000000006</v>
      </c>
      <c r="M22" s="399">
        <v>25</v>
      </c>
      <c r="N22" s="398">
        <f>SUM(J22+L22)*M22/100</f>
        <v>30881.265000000003</v>
      </c>
      <c r="O22" s="398">
        <f>SUM(J22+L22+N22)</f>
        <v>154406.32500000001</v>
      </c>
      <c r="P22" s="398"/>
      <c r="Q22" s="396">
        <f t="shared" si="7"/>
        <v>0</v>
      </c>
      <c r="R22" s="399"/>
      <c r="S22" s="399"/>
      <c r="T22" s="404"/>
      <c r="U22" s="404"/>
      <c r="V22" s="404"/>
      <c r="W22" s="404"/>
      <c r="X22" s="404"/>
      <c r="Y22" s="399"/>
      <c r="Z22" s="404"/>
      <c r="AA22" s="404"/>
      <c r="AB22" s="404"/>
      <c r="AC22" s="404"/>
      <c r="AD22" s="406">
        <v>1</v>
      </c>
      <c r="AE22" s="398">
        <f t="shared" si="4"/>
        <v>15440.632500000002</v>
      </c>
      <c r="AF22" s="398">
        <f>SUM(Q22,S22,U22,W22,AA22,Y22,AE22,AC22)</f>
        <v>15440.632500000002</v>
      </c>
      <c r="AG22" s="398">
        <f t="shared" si="6"/>
        <v>169846.95750000002</v>
      </c>
      <c r="AH22" s="407"/>
    </row>
    <row r="23" spans="1:34" ht="34.9" customHeight="1">
      <c r="A23" s="222">
        <v>4</v>
      </c>
      <c r="B23" s="403" t="s">
        <v>204</v>
      </c>
      <c r="C23" s="224" t="s">
        <v>203</v>
      </c>
      <c r="D23" s="224" t="s">
        <v>205</v>
      </c>
      <c r="E23" s="395" t="s">
        <v>34</v>
      </c>
      <c r="F23" s="399"/>
      <c r="G23" s="399" t="s">
        <v>373</v>
      </c>
      <c r="H23" s="422">
        <v>3.45</v>
      </c>
      <c r="I23" s="406">
        <v>1</v>
      </c>
      <c r="J23" s="397">
        <f>$H$15*H23*I23</f>
        <v>61054.65</v>
      </c>
      <c r="K23" s="397">
        <v>100</v>
      </c>
      <c r="L23" s="398">
        <f t="shared" ref="L23:L26" si="8">SUM(J23*K23)/100</f>
        <v>61054.65</v>
      </c>
      <c r="M23" s="399">
        <v>25</v>
      </c>
      <c r="N23" s="398">
        <f t="shared" ref="N23:N26" si="9">SUM(J23+L23)*M23/100</f>
        <v>30527.325000000001</v>
      </c>
      <c r="O23" s="398">
        <f t="shared" ref="O23:O26" si="10">SUM(J23+L23+N23)</f>
        <v>152636.625</v>
      </c>
      <c r="P23" s="398"/>
      <c r="Q23" s="396">
        <f t="shared" si="7"/>
        <v>0</v>
      </c>
      <c r="R23" s="399">
        <v>0</v>
      </c>
      <c r="S23" s="399">
        <f>SUM($H$15*0.3)*R23</f>
        <v>0</v>
      </c>
      <c r="T23" s="399"/>
      <c r="U23" s="399">
        <f t="shared" ref="U23:U26" si="11">$H$15*0.2*T23</f>
        <v>0</v>
      </c>
      <c r="V23" s="398"/>
      <c r="W23" s="399">
        <f t="shared" ref="W23" si="12">$H$15*0.3*V23</f>
        <v>0</v>
      </c>
      <c r="X23" s="399"/>
      <c r="Y23" s="399">
        <f t="shared" ref="Y23:Y25" si="13">SUM($H$15*X23/100)</f>
        <v>0</v>
      </c>
      <c r="Z23" s="399"/>
      <c r="AA23" s="399">
        <f>SUM($H$15*H23/168*24)/6*Z23</f>
        <v>0</v>
      </c>
      <c r="AB23" s="399"/>
      <c r="AC23" s="399">
        <f>SUM($H$15*H23*I23*0.5/168*8)*AB23</f>
        <v>0</v>
      </c>
      <c r="AD23" s="406">
        <v>1</v>
      </c>
      <c r="AE23" s="398">
        <f t="shared" si="4"/>
        <v>15263.6625</v>
      </c>
      <c r="AF23" s="398">
        <f t="shared" si="5"/>
        <v>15263.6625</v>
      </c>
      <c r="AG23" s="398">
        <f t="shared" si="6"/>
        <v>167900.28750000001</v>
      </c>
      <c r="AH23" s="400"/>
    </row>
    <row r="24" spans="1:34" ht="34.9" customHeight="1">
      <c r="A24" s="222">
        <v>5</v>
      </c>
      <c r="B24" s="403" t="s">
        <v>206</v>
      </c>
      <c r="C24" s="224" t="s">
        <v>207</v>
      </c>
      <c r="D24" s="224" t="s">
        <v>11</v>
      </c>
      <c r="E24" s="395" t="s">
        <v>29</v>
      </c>
      <c r="F24" s="399" t="s">
        <v>325</v>
      </c>
      <c r="G24" s="399" t="s">
        <v>374</v>
      </c>
      <c r="H24" s="422">
        <v>4.7300000000000004</v>
      </c>
      <c r="I24" s="406">
        <v>0.5</v>
      </c>
      <c r="J24" s="397">
        <f>$H$15*H24*I24</f>
        <v>41853.405000000006</v>
      </c>
      <c r="K24" s="397">
        <v>100</v>
      </c>
      <c r="L24" s="398">
        <f t="shared" si="8"/>
        <v>41853.405000000006</v>
      </c>
      <c r="M24" s="399">
        <v>25</v>
      </c>
      <c r="N24" s="398">
        <f t="shared" si="9"/>
        <v>20926.702500000003</v>
      </c>
      <c r="O24" s="398">
        <f t="shared" si="10"/>
        <v>104633.51250000001</v>
      </c>
      <c r="P24" s="398"/>
      <c r="Q24" s="396">
        <f t="shared" si="7"/>
        <v>0</v>
      </c>
      <c r="R24" s="399"/>
      <c r="S24" s="399"/>
      <c r="T24" s="399"/>
      <c r="U24" s="399">
        <f t="shared" si="11"/>
        <v>0</v>
      </c>
      <c r="V24" s="398"/>
      <c r="W24" s="399"/>
      <c r="X24" s="399"/>
      <c r="Y24" s="399"/>
      <c r="Z24" s="399"/>
      <c r="AA24" s="399"/>
      <c r="AB24" s="399"/>
      <c r="AC24" s="399"/>
      <c r="AD24" s="406">
        <v>0.5</v>
      </c>
      <c r="AE24" s="398">
        <f t="shared" si="4"/>
        <v>10463.351250000002</v>
      </c>
      <c r="AF24" s="398">
        <f t="shared" si="5"/>
        <v>10463.351250000002</v>
      </c>
      <c r="AG24" s="398">
        <f t="shared" si="6"/>
        <v>115096.86375000002</v>
      </c>
      <c r="AH24" s="400"/>
    </row>
    <row r="25" spans="1:34" ht="34.9" customHeight="1">
      <c r="A25" s="222">
        <v>6</v>
      </c>
      <c r="B25" s="403" t="s">
        <v>208</v>
      </c>
      <c r="C25" s="224" t="s">
        <v>209</v>
      </c>
      <c r="D25" s="224" t="s">
        <v>210</v>
      </c>
      <c r="E25" s="408" t="s">
        <v>192</v>
      </c>
      <c r="F25" s="399"/>
      <c r="G25" s="409" t="s">
        <v>375</v>
      </c>
      <c r="H25" s="422">
        <v>2.98</v>
      </c>
      <c r="I25" s="406">
        <v>1</v>
      </c>
      <c r="J25" s="398">
        <f>$H$15*H25*I25</f>
        <v>52737.06</v>
      </c>
      <c r="K25" s="398">
        <v>45</v>
      </c>
      <c r="L25" s="398">
        <f t="shared" si="8"/>
        <v>23731.676999999996</v>
      </c>
      <c r="M25" s="399">
        <v>25</v>
      </c>
      <c r="N25" s="398">
        <f t="shared" si="9"/>
        <v>19117.184249999998</v>
      </c>
      <c r="O25" s="398">
        <f t="shared" si="10"/>
        <v>95585.921249999985</v>
      </c>
      <c r="P25" s="398"/>
      <c r="Q25" s="396">
        <f t="shared" si="7"/>
        <v>0</v>
      </c>
      <c r="R25" s="399"/>
      <c r="S25" s="399">
        <f>SUM($H$15*0.2)*R25</f>
        <v>0</v>
      </c>
      <c r="T25" s="399"/>
      <c r="U25" s="399">
        <f t="shared" si="11"/>
        <v>0</v>
      </c>
      <c r="V25" s="398">
        <v>1</v>
      </c>
      <c r="W25" s="399">
        <f>$H$15*0.3*V25</f>
        <v>5309.0999999999995</v>
      </c>
      <c r="X25" s="399"/>
      <c r="Y25" s="404">
        <f t="shared" si="13"/>
        <v>0</v>
      </c>
      <c r="Z25" s="399"/>
      <c r="AA25" s="399">
        <f>SUM($H$15*H25/168*24)/6*Z25</f>
        <v>0</v>
      </c>
      <c r="AB25" s="399"/>
      <c r="AC25" s="399">
        <f>SUM($H$15*H25*I25*0.5/168*8)*AB25</f>
        <v>0</v>
      </c>
      <c r="AD25" s="406">
        <v>1</v>
      </c>
      <c r="AE25" s="398">
        <f t="shared" si="4"/>
        <v>9558.5921249999992</v>
      </c>
      <c r="AF25" s="398">
        <f t="shared" si="5"/>
        <v>14867.692124999998</v>
      </c>
      <c r="AG25" s="398">
        <f t="shared" si="6"/>
        <v>110453.61337499999</v>
      </c>
      <c r="AH25" s="400"/>
    </row>
    <row r="26" spans="1:34" ht="34.9" customHeight="1">
      <c r="A26" s="222">
        <v>7</v>
      </c>
      <c r="B26" s="403" t="s">
        <v>211</v>
      </c>
      <c r="C26" s="224" t="s">
        <v>212</v>
      </c>
      <c r="D26" s="224" t="s">
        <v>11</v>
      </c>
      <c r="E26" s="408"/>
      <c r="F26" s="406">
        <v>2</v>
      </c>
      <c r="G26" s="409" t="s">
        <v>376</v>
      </c>
      <c r="H26" s="422">
        <v>2.81</v>
      </c>
      <c r="I26" s="406">
        <v>1</v>
      </c>
      <c r="J26" s="398">
        <f>$H$15*H26*I26</f>
        <v>49728.57</v>
      </c>
      <c r="K26" s="398">
        <v>45</v>
      </c>
      <c r="L26" s="398">
        <f t="shared" si="8"/>
        <v>22377.856499999998</v>
      </c>
      <c r="M26" s="399"/>
      <c r="N26" s="398">
        <f t="shared" si="9"/>
        <v>0</v>
      </c>
      <c r="O26" s="398">
        <f t="shared" si="10"/>
        <v>72106.426500000001</v>
      </c>
      <c r="P26" s="398"/>
      <c r="Q26" s="396">
        <f t="shared" si="7"/>
        <v>0</v>
      </c>
      <c r="R26" s="399"/>
      <c r="S26" s="399"/>
      <c r="T26" s="399"/>
      <c r="U26" s="399">
        <f t="shared" si="11"/>
        <v>0</v>
      </c>
      <c r="V26" s="398"/>
      <c r="W26" s="399"/>
      <c r="X26" s="399"/>
      <c r="Y26" s="404"/>
      <c r="Z26" s="399"/>
      <c r="AA26" s="399"/>
      <c r="AB26" s="399"/>
      <c r="AC26" s="399"/>
      <c r="AD26" s="406">
        <v>1</v>
      </c>
      <c r="AE26" s="398">
        <f t="shared" si="4"/>
        <v>7210.6426500000007</v>
      </c>
      <c r="AF26" s="398">
        <f t="shared" si="5"/>
        <v>7210.6426500000007</v>
      </c>
      <c r="AG26" s="398">
        <f t="shared" ref="AG26" si="14">SUM(O26+AF26)</f>
        <v>79317.069149999996</v>
      </c>
      <c r="AH26" s="400"/>
    </row>
    <row r="27" spans="1:34" ht="34.9" customHeight="1">
      <c r="A27" s="227"/>
      <c r="B27" s="410" t="s">
        <v>213</v>
      </c>
      <c r="C27" s="411"/>
      <c r="D27" s="411"/>
      <c r="E27" s="411"/>
      <c r="F27" s="411"/>
      <c r="G27" s="411"/>
      <c r="H27" s="411"/>
      <c r="I27" s="413">
        <f>SUM(I20:I26)</f>
        <v>5.5</v>
      </c>
      <c r="J27" s="414">
        <f>SUM(J20:J26)</f>
        <v>342436.95</v>
      </c>
      <c r="K27" s="412"/>
      <c r="L27" s="414">
        <f>SUM(L20:L26)</f>
        <v>286080.85349999997</v>
      </c>
      <c r="M27" s="412">
        <f>SUM(M20:M26)</f>
        <v>150</v>
      </c>
      <c r="N27" s="414">
        <f>SUM(N20:N26)</f>
        <v>139102.84424999999</v>
      </c>
      <c r="O27" s="414">
        <f>SUM(O20:O26)</f>
        <v>767620.64775</v>
      </c>
      <c r="P27" s="412"/>
      <c r="Q27" s="415">
        <f>SUM(Q21:Q26)</f>
        <v>33989.300624999989</v>
      </c>
      <c r="R27" s="412">
        <f t="shared" ref="R27:AC27" si="15">SUM(R22:R25)</f>
        <v>0</v>
      </c>
      <c r="S27" s="412">
        <f t="shared" si="15"/>
        <v>0</v>
      </c>
      <c r="T27" s="412">
        <f t="shared" si="15"/>
        <v>0</v>
      </c>
      <c r="U27" s="412">
        <f t="shared" si="15"/>
        <v>0</v>
      </c>
      <c r="V27" s="412">
        <f t="shared" si="15"/>
        <v>1</v>
      </c>
      <c r="W27" s="412">
        <f t="shared" si="15"/>
        <v>5309.0999999999995</v>
      </c>
      <c r="X27" s="412">
        <f t="shared" si="15"/>
        <v>0</v>
      </c>
      <c r="Y27" s="412">
        <f t="shared" si="15"/>
        <v>0</v>
      </c>
      <c r="Z27" s="412">
        <f t="shared" si="15"/>
        <v>0</v>
      </c>
      <c r="AA27" s="412">
        <f t="shared" si="15"/>
        <v>0</v>
      </c>
      <c r="AB27" s="412">
        <f t="shared" si="15"/>
        <v>0</v>
      </c>
      <c r="AC27" s="412">
        <f t="shared" si="15"/>
        <v>0</v>
      </c>
      <c r="AD27" s="412">
        <f>SUM(AD20:AD26)</f>
        <v>5.5</v>
      </c>
      <c r="AE27" s="414">
        <f>SUM(AE20:AE26)</f>
        <v>76762.064774999992</v>
      </c>
      <c r="AF27" s="414">
        <f>SUM(AF20:AF26)</f>
        <v>116060.4654</v>
      </c>
      <c r="AG27" s="414">
        <f>SUM(AG20:AG26)</f>
        <v>883681.11314999999</v>
      </c>
      <c r="AH27" s="400"/>
    </row>
    <row r="28" spans="1:34">
      <c r="A28" s="207"/>
      <c r="B28" s="207"/>
      <c r="C28" s="207"/>
      <c r="D28" s="207"/>
      <c r="E28" s="207"/>
      <c r="F28" s="207"/>
      <c r="G28" s="207"/>
      <c r="H28" s="228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</row>
    <row r="29" spans="1:34">
      <c r="A29" s="229"/>
      <c r="B29" s="230"/>
      <c r="C29" s="231" t="s">
        <v>214</v>
      </c>
      <c r="D29" s="231"/>
      <c r="E29" s="231"/>
      <c r="F29" s="581" t="s">
        <v>215</v>
      </c>
      <c r="G29" s="581"/>
      <c r="H29" s="232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0"/>
      <c r="T29" s="231" t="s">
        <v>216</v>
      </c>
      <c r="U29" s="231"/>
      <c r="V29" s="230"/>
      <c r="W29" s="233"/>
      <c r="X29" s="233" t="s">
        <v>217</v>
      </c>
      <c r="Y29" s="233"/>
      <c r="Z29" s="233"/>
      <c r="AA29" s="234"/>
      <c r="AB29" s="230"/>
      <c r="AC29" s="230"/>
      <c r="AD29" s="235"/>
      <c r="AE29" s="230"/>
      <c r="AF29" s="234"/>
      <c r="AG29" s="230"/>
    </row>
    <row r="30" spans="1:34">
      <c r="A30" s="229"/>
      <c r="B30" s="230"/>
      <c r="C30" s="231"/>
      <c r="D30" s="231"/>
      <c r="E30" s="231"/>
      <c r="F30" s="231"/>
      <c r="G30" s="233"/>
      <c r="H30" s="232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0"/>
      <c r="T30" s="231"/>
      <c r="U30" s="231"/>
      <c r="V30" s="230"/>
      <c r="W30" s="233"/>
      <c r="X30" s="233"/>
      <c r="Y30" s="233"/>
      <c r="Z30" s="233"/>
      <c r="AA30" s="233"/>
      <c r="AB30" s="230"/>
      <c r="AC30" s="230"/>
      <c r="AD30" s="230"/>
      <c r="AE30" s="230"/>
      <c r="AF30" s="230"/>
      <c r="AG30" s="236"/>
    </row>
    <row r="31" spans="1:34">
      <c r="A31" s="229"/>
      <c r="B31" s="230"/>
      <c r="C31" s="233"/>
      <c r="D31" s="233"/>
      <c r="E31" s="233"/>
      <c r="F31" s="581"/>
      <c r="G31" s="581"/>
      <c r="H31" s="232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0"/>
      <c r="T31" s="231"/>
      <c r="U31" s="231"/>
      <c r="V31" s="230"/>
      <c r="W31" s="233"/>
      <c r="X31" s="233"/>
      <c r="Y31" s="233"/>
      <c r="Z31" s="233"/>
      <c r="AA31" s="233"/>
      <c r="AB31" s="230"/>
      <c r="AC31" s="230"/>
      <c r="AD31" s="230"/>
      <c r="AE31" s="230"/>
      <c r="AF31" s="230"/>
      <c r="AG31" s="230"/>
    </row>
    <row r="32" spans="1:34">
      <c r="A32" s="229"/>
      <c r="B32" s="230"/>
      <c r="C32" s="233"/>
      <c r="D32" s="233"/>
      <c r="E32" s="233"/>
      <c r="F32" s="233"/>
      <c r="G32" s="233"/>
      <c r="H32" s="237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0"/>
      <c r="T32" s="231"/>
      <c r="U32" s="231"/>
      <c r="V32" s="230"/>
      <c r="W32" s="233"/>
      <c r="X32" s="233"/>
      <c r="Y32" s="233"/>
      <c r="Z32" s="233"/>
      <c r="AA32" s="233"/>
      <c r="AB32" s="230"/>
      <c r="AC32" s="230"/>
      <c r="AD32" s="230"/>
      <c r="AE32" s="230"/>
      <c r="AF32" s="230"/>
      <c r="AG32" s="230"/>
    </row>
    <row r="33" spans="1:33">
      <c r="A33" s="229"/>
      <c r="B33" s="230"/>
      <c r="C33" s="233"/>
      <c r="D33" s="233"/>
      <c r="E33" s="233"/>
      <c r="F33" s="581"/>
      <c r="G33" s="581"/>
      <c r="H33" s="232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0"/>
      <c r="T33" s="582"/>
      <c r="U33" s="582"/>
      <c r="V33" s="230"/>
      <c r="W33" s="233"/>
      <c r="X33" s="233"/>
      <c r="Y33" s="233"/>
      <c r="Z33" s="233"/>
      <c r="AA33" s="233"/>
      <c r="AB33" s="230"/>
      <c r="AC33" s="230"/>
      <c r="AD33" s="230"/>
      <c r="AE33" s="230"/>
      <c r="AF33" s="230"/>
      <c r="AG33" s="230"/>
    </row>
    <row r="34" spans="1:33">
      <c r="A34" s="238"/>
      <c r="B34" s="239"/>
      <c r="C34" s="239"/>
      <c r="D34" s="239"/>
      <c r="E34" s="239"/>
      <c r="F34" s="239"/>
      <c r="G34" s="239"/>
      <c r="H34" s="240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</row>
    <row r="35" spans="1:33">
      <c r="A35" s="238"/>
      <c r="B35" s="239"/>
      <c r="C35" s="239"/>
      <c r="D35" s="239"/>
      <c r="E35" s="239"/>
      <c r="F35" s="239"/>
      <c r="G35" s="239"/>
      <c r="H35" s="240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</row>
    <row r="36" spans="1:33">
      <c r="A36" s="238"/>
      <c r="B36" s="239"/>
      <c r="C36" s="239"/>
      <c r="D36" s="239"/>
      <c r="E36" s="239"/>
      <c r="F36" s="239"/>
      <c r="G36" s="239"/>
      <c r="H36" s="240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</row>
    <row r="37" spans="1:33">
      <c r="A37" s="238"/>
      <c r="B37" s="239"/>
      <c r="C37" s="239"/>
      <c r="D37" s="239"/>
      <c r="E37" s="239"/>
      <c r="F37" s="239"/>
      <c r="G37" s="239"/>
      <c r="H37" s="240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</row>
    <row r="38" spans="1:33">
      <c r="A38" s="238"/>
      <c r="B38" s="239"/>
      <c r="C38" s="239"/>
      <c r="D38" s="239"/>
      <c r="E38" s="239"/>
      <c r="F38" s="239"/>
      <c r="G38" s="239"/>
      <c r="H38" s="240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</row>
    <row r="39" spans="1:33">
      <c r="A39" s="238"/>
      <c r="B39" s="239"/>
      <c r="C39" s="239"/>
      <c r="D39" s="239"/>
      <c r="E39" s="239"/>
      <c r="F39" s="239"/>
      <c r="G39" s="239"/>
      <c r="H39" s="240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</row>
  </sheetData>
  <mergeCells count="36">
    <mergeCell ref="F31:G31"/>
    <mergeCell ref="F33:G33"/>
    <mergeCell ref="T33:U33"/>
    <mergeCell ref="K17:L18"/>
    <mergeCell ref="P17:Q17"/>
    <mergeCell ref="F29:G29"/>
    <mergeCell ref="M16:N17"/>
    <mergeCell ref="O16:O18"/>
    <mergeCell ref="R16:AF16"/>
    <mergeCell ref="AG16:AG18"/>
    <mergeCell ref="E17:E18"/>
    <mergeCell ref="F17:F18"/>
    <mergeCell ref="R17:S17"/>
    <mergeCell ref="T17:U17"/>
    <mergeCell ref="V17:W17"/>
    <mergeCell ref="X17:Y17"/>
    <mergeCell ref="Z17:AA17"/>
    <mergeCell ref="AB17:AC17"/>
    <mergeCell ref="AD17:AE17"/>
    <mergeCell ref="AF17:AF18"/>
    <mergeCell ref="J15:N15"/>
    <mergeCell ref="A16:A18"/>
    <mergeCell ref="B16:B18"/>
    <mergeCell ref="C16:C18"/>
    <mergeCell ref="D16:D18"/>
    <mergeCell ref="E16:F16"/>
    <mergeCell ref="G16:G18"/>
    <mergeCell ref="H16:H18"/>
    <mergeCell ref="I16:I18"/>
    <mergeCell ref="J16:J18"/>
    <mergeCell ref="T12:V12"/>
    <mergeCell ref="B3:C3"/>
    <mergeCell ref="E3:M3"/>
    <mergeCell ref="R3:S3"/>
    <mergeCell ref="O4:V4"/>
    <mergeCell ref="V5:AB5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Тариф 01.01.2023 г.</vt:lpstr>
      <vt:lpstr>проверка тетр.</vt:lpstr>
      <vt:lpstr>нагрузка</vt:lpstr>
      <vt:lpstr>фак., кружки</vt:lpstr>
      <vt:lpstr>Штат</vt:lpstr>
      <vt:lpstr>Мини-центр</vt:lpstr>
      <vt:lpstr>'Мини-центр'!Область_печати</vt:lpstr>
      <vt:lpstr>'Тариф 01.01.2023 г.'!Область_печати</vt:lpstr>
      <vt:lpstr>'фак., кружки'!Область_печати</vt:lpstr>
      <vt:lpstr>Штат!Область_печати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2023-02-10T06:54:40Z</cp:lastPrinted>
  <dcterms:created xsi:type="dcterms:W3CDTF">2014-03-18T18:18:42Z</dcterms:created>
  <dcterms:modified xsi:type="dcterms:W3CDTF">2023-02-15T07:07:18Z</dcterms:modified>
</cp:coreProperties>
</file>